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mc:AlternateContent xmlns:mc="http://schemas.openxmlformats.org/markup-compatibility/2006">
    <mc:Choice Requires="x15">
      <x15ac:absPath xmlns:x15ac="http://schemas.microsoft.com/office/spreadsheetml/2010/11/ac" url="C:\Users\lowca\Dropbox\LCWO\Street by Street\Materials\Carbon footprinting 2018 - materials for footprinters\"/>
    </mc:Choice>
  </mc:AlternateContent>
  <xr:revisionPtr revIDLastSave="0" documentId="8_{67895FEB-92CB-4746-ACF4-9ADC84C89559}" xr6:coauthVersionLast="44" xr6:coauthVersionMax="44" xr10:uidLastSave="{00000000-0000-0000-0000-000000000000}"/>
  <bookViews>
    <workbookView xWindow="-110" yWindow="-110" windowWidth="19420" windowHeight="10420" tabRatio="763"/>
  </bookViews>
  <sheets>
    <sheet name="Q domestic energy" sheetId="10" r:id="rId1"/>
    <sheet name="Q travel" sheetId="8" r:id="rId2"/>
    <sheet name="Q lifestyle" sheetId="9" r:id="rId3"/>
    <sheet name="your footprint" sheetId="4" r:id="rId4"/>
    <sheet name="pledge sheet" sheetId="1" state="hidden" r:id="rId5"/>
    <sheet name="look up tables" sheetId="13" state="hidden" r:id="rId6"/>
    <sheet name="qt calcs" sheetId="12" state="hidden" r:id="rId7"/>
    <sheet name="qde calcs" sheetId="5" state="hidden" r:id="rId8"/>
    <sheet name="ql calcs" sheetId="14" state="hidden" r:id="rId9"/>
    <sheet name="         " sheetId="7" state="hidden" r:id="rId10"/>
    <sheet name="suggestions" sheetId="11" state="hidden" r:id="rId11"/>
    <sheet name="nothing here" sheetId="3" state="hidden" r:id="rId12"/>
  </sheets>
  <definedNames>
    <definedName name="_xlnm.Print_Area" localSheetId="0">'Q domestic energy'!$A$1:$F$65</definedName>
    <definedName name="_xlnm.Print_Area" localSheetId="2">'Q lifestyle'!$A$1:$G$108</definedName>
    <definedName name="_xlnm.Print_Area" localSheetId="1">'Q travel'!$A$1:$H$191</definedName>
    <definedName name="_xlnm.Print_Area" localSheetId="3">'your footprint'!$A$1:$I$67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5" l="1"/>
  <c r="B108" i="12"/>
  <c r="A116" i="12"/>
  <c r="B116" i="12" s="1"/>
  <c r="A117" i="12"/>
  <c r="B117" i="12"/>
  <c r="A118" i="12"/>
  <c r="G118" i="12" s="1"/>
  <c r="A119" i="12"/>
  <c r="B119" i="12" s="1"/>
  <c r="A99" i="12"/>
  <c r="A62" i="12" s="1"/>
  <c r="A38" i="12" s="1"/>
  <c r="C118" i="12"/>
  <c r="D118" i="12"/>
  <c r="E116" i="12"/>
  <c r="F116" i="12"/>
  <c r="F118" i="12"/>
  <c r="G116" i="12"/>
  <c r="H116" i="12"/>
  <c r="H118" i="12"/>
  <c r="I116" i="12"/>
  <c r="D78" i="12"/>
  <c r="D81" i="12" s="1"/>
  <c r="D79" i="12"/>
  <c r="D80" i="12"/>
  <c r="E78" i="12"/>
  <c r="E81" i="12" s="1"/>
  <c r="E79" i="12"/>
  <c r="E80" i="12"/>
  <c r="F78" i="12"/>
  <c r="F81" i="12" s="1"/>
  <c r="F85" i="12" s="1"/>
  <c r="H52" i="8" s="1"/>
  <c r="F79" i="12"/>
  <c r="F80" i="12"/>
  <c r="G78" i="12"/>
  <c r="G81" i="12" s="1"/>
  <c r="G79" i="12"/>
  <c r="G80" i="12"/>
  <c r="H78" i="12"/>
  <c r="H81" i="12" s="1"/>
  <c r="H79" i="12"/>
  <c r="H80" i="12"/>
  <c r="I78" i="12"/>
  <c r="I81" i="12" s="1"/>
  <c r="I79" i="12"/>
  <c r="I80" i="12"/>
  <c r="D82" i="12"/>
  <c r="D83" i="12" s="1"/>
  <c r="E82" i="12"/>
  <c r="E83" i="12" s="1"/>
  <c r="F82" i="12"/>
  <c r="F83" i="12"/>
  <c r="G82" i="12"/>
  <c r="G83" i="12" s="1"/>
  <c r="H82" i="12"/>
  <c r="H83" i="12" s="1"/>
  <c r="I82" i="12"/>
  <c r="I83" i="12" s="1"/>
  <c r="C101" i="12"/>
  <c r="C102" i="12"/>
  <c r="A89" i="12"/>
  <c r="C89" i="12" s="1"/>
  <c r="C99" i="12"/>
  <c r="D101" i="12"/>
  <c r="D102" i="12"/>
  <c r="E101" i="12"/>
  <c r="E102" i="12"/>
  <c r="E99" i="12"/>
  <c r="F101" i="12"/>
  <c r="F102" i="12"/>
  <c r="F99" i="12"/>
  <c r="G101" i="12"/>
  <c r="G102" i="12" s="1"/>
  <c r="G99" i="12"/>
  <c r="H101" i="12"/>
  <c r="H102" i="12" s="1"/>
  <c r="C84" i="5"/>
  <c r="C79" i="5"/>
  <c r="F17" i="8"/>
  <c r="B42" i="5"/>
  <c r="B43" i="5"/>
  <c r="B44" i="5"/>
  <c r="H5" i="4" s="1"/>
  <c r="E25" i="4" s="1"/>
  <c r="B62" i="5" s="1"/>
  <c r="D139" i="12"/>
  <c r="D140" i="12" s="1"/>
  <c r="D134" i="12"/>
  <c r="B78" i="12"/>
  <c r="C135" i="12"/>
  <c r="D135" i="12"/>
  <c r="D136" i="12"/>
  <c r="D137" i="12"/>
  <c r="E135" i="12"/>
  <c r="E138" i="12" s="1"/>
  <c r="E142" i="12" s="1"/>
  <c r="E136" i="12"/>
  <c r="E137" i="12"/>
  <c r="E139" i="12"/>
  <c r="E140" i="12"/>
  <c r="F135" i="12"/>
  <c r="F136" i="12"/>
  <c r="F137" i="12"/>
  <c r="F139" i="12"/>
  <c r="F140" i="12"/>
  <c r="G135" i="12"/>
  <c r="G138" i="12" s="1"/>
  <c r="G136" i="12"/>
  <c r="G137" i="12"/>
  <c r="G139" i="12"/>
  <c r="G140" i="12"/>
  <c r="H135" i="12"/>
  <c r="H136" i="12"/>
  <c r="H137" i="12"/>
  <c r="H139" i="12"/>
  <c r="H140" i="12"/>
  <c r="I135" i="12"/>
  <c r="I138" i="12" s="1"/>
  <c r="I136" i="12"/>
  <c r="I137" i="12"/>
  <c r="I139" i="12"/>
  <c r="I140" i="12" s="1"/>
  <c r="C99" i="14"/>
  <c r="C98" i="14"/>
  <c r="C97" i="14"/>
  <c r="C96" i="14"/>
  <c r="C95" i="14"/>
  <c r="C94" i="14"/>
  <c r="C93" i="14"/>
  <c r="D77" i="12"/>
  <c r="A90" i="12"/>
  <c r="C90" i="12"/>
  <c r="A91" i="12"/>
  <c r="C91" i="12"/>
  <c r="A92" i="12"/>
  <c r="C92" i="12" s="1"/>
  <c r="A93" i="12"/>
  <c r="C93" i="12" s="1"/>
  <c r="A94" i="12"/>
  <c r="C94" i="12"/>
  <c r="A95" i="12"/>
  <c r="C95" i="12"/>
  <c r="A96" i="12"/>
  <c r="C96" i="12" s="1"/>
  <c r="A97" i="12"/>
  <c r="C97" i="12" s="1"/>
  <c r="A98" i="12"/>
  <c r="C98" i="12"/>
  <c r="A109" i="12"/>
  <c r="B109" i="12"/>
  <c r="A110" i="12"/>
  <c r="B110" i="12" s="1"/>
  <c r="A111" i="12"/>
  <c r="B111" i="12" s="1"/>
  <c r="A112" i="12"/>
  <c r="B112" i="12"/>
  <c r="A113" i="12"/>
  <c r="B113" i="12"/>
  <c r="A114" i="12"/>
  <c r="B114" i="12" s="1"/>
  <c r="A115" i="12"/>
  <c r="B115" i="12" s="1"/>
  <c r="F25" i="8"/>
  <c r="F33" i="8"/>
  <c r="C161" i="12"/>
  <c r="C162" i="12"/>
  <c r="A149" i="12"/>
  <c r="C149" i="12" s="1"/>
  <c r="A150" i="12"/>
  <c r="D150" i="12" s="1"/>
  <c r="C148" i="12"/>
  <c r="A151" i="12"/>
  <c r="D151" i="12" s="1"/>
  <c r="A152" i="12"/>
  <c r="E152" i="12" s="1"/>
  <c r="C152" i="12"/>
  <c r="A153" i="12"/>
  <c r="C153" i="12"/>
  <c r="A154" i="12"/>
  <c r="C154" i="12" s="1"/>
  <c r="A155" i="12"/>
  <c r="E155" i="12" s="1"/>
  <c r="A156" i="12"/>
  <c r="D156" i="12" s="1"/>
  <c r="C156" i="12"/>
  <c r="A157" i="12"/>
  <c r="C157" i="12"/>
  <c r="A158" i="12"/>
  <c r="C158" i="12" s="1"/>
  <c r="D161" i="12"/>
  <c r="D162" i="12" s="1"/>
  <c r="D152" i="12"/>
  <c r="D153" i="12"/>
  <c r="D155" i="12"/>
  <c r="D157" i="12"/>
  <c r="D158" i="12"/>
  <c r="E161" i="12"/>
  <c r="E162" i="12"/>
  <c r="E151" i="12"/>
  <c r="E153" i="12"/>
  <c r="E154" i="12"/>
  <c r="E156" i="12"/>
  <c r="E157" i="12"/>
  <c r="F161" i="12"/>
  <c r="F162" i="12" s="1"/>
  <c r="F152" i="12"/>
  <c r="F153" i="12"/>
  <c r="F155" i="12"/>
  <c r="F157" i="12"/>
  <c r="F158" i="12"/>
  <c r="G161" i="12"/>
  <c r="G162" i="12"/>
  <c r="G151" i="12"/>
  <c r="G153" i="12"/>
  <c r="G154" i="12"/>
  <c r="G156" i="12"/>
  <c r="G157" i="12"/>
  <c r="H161" i="12"/>
  <c r="H162" i="12" s="1"/>
  <c r="H150" i="12"/>
  <c r="H152" i="12"/>
  <c r="H153" i="12"/>
  <c r="H155" i="12"/>
  <c r="H157" i="12"/>
  <c r="H158" i="12"/>
  <c r="C171" i="12"/>
  <c r="C172" i="12"/>
  <c r="C173" i="12"/>
  <c r="C174" i="12"/>
  <c r="C175" i="12"/>
  <c r="C176" i="12"/>
  <c r="C177" i="12"/>
  <c r="C178" i="12"/>
  <c r="A179" i="12"/>
  <c r="C179" i="12"/>
  <c r="C180" i="12"/>
  <c r="C181" i="12"/>
  <c r="C182" i="12"/>
  <c r="A183" i="12"/>
  <c r="C183" i="12"/>
  <c r="D171" i="12"/>
  <c r="D172" i="12"/>
  <c r="D173" i="12"/>
  <c r="D174" i="12"/>
  <c r="D175" i="12"/>
  <c r="D176" i="12"/>
  <c r="D177" i="12"/>
  <c r="D178" i="12"/>
  <c r="D179" i="12"/>
  <c r="D180" i="12"/>
  <c r="D181" i="12"/>
  <c r="D182" i="12"/>
  <c r="D183" i="12"/>
  <c r="E172" i="12"/>
  <c r="E173" i="12"/>
  <c r="E174" i="12"/>
  <c r="E175" i="12"/>
  <c r="E176" i="12"/>
  <c r="E177" i="12"/>
  <c r="E178" i="12"/>
  <c r="E179" i="12"/>
  <c r="E180" i="12"/>
  <c r="E181" i="12"/>
  <c r="E182" i="12"/>
  <c r="E183" i="12"/>
  <c r="F172" i="12"/>
  <c r="F173" i="12"/>
  <c r="F174" i="12"/>
  <c r="F175" i="12"/>
  <c r="F176" i="12"/>
  <c r="F177" i="12"/>
  <c r="F178" i="12"/>
  <c r="F179" i="12"/>
  <c r="F180" i="12"/>
  <c r="F181" i="12"/>
  <c r="F182" i="12"/>
  <c r="F183" i="12"/>
  <c r="G172" i="12"/>
  <c r="G173" i="12"/>
  <c r="G174" i="12"/>
  <c r="G175" i="12"/>
  <c r="G176" i="12"/>
  <c r="G177" i="12"/>
  <c r="G178" i="12"/>
  <c r="G179" i="12"/>
  <c r="G180" i="12"/>
  <c r="G181" i="12"/>
  <c r="G182" i="12"/>
  <c r="G183" i="12"/>
  <c r="H172" i="12"/>
  <c r="H173" i="12"/>
  <c r="H174" i="12"/>
  <c r="H175" i="12"/>
  <c r="H176" i="12"/>
  <c r="H177" i="12"/>
  <c r="H178" i="12"/>
  <c r="H179" i="12"/>
  <c r="H180" i="12"/>
  <c r="H181" i="12"/>
  <c r="H182" i="12"/>
  <c r="H183" i="12"/>
  <c r="I172" i="12"/>
  <c r="I173" i="12"/>
  <c r="I174" i="12"/>
  <c r="I175" i="12"/>
  <c r="I176" i="12"/>
  <c r="I177" i="12"/>
  <c r="I178" i="12"/>
  <c r="I179" i="12"/>
  <c r="I180" i="12"/>
  <c r="I181" i="12"/>
  <c r="I182" i="12"/>
  <c r="I183" i="12"/>
  <c r="J172" i="12"/>
  <c r="J173" i="12"/>
  <c r="J174" i="12"/>
  <c r="J175" i="12"/>
  <c r="J176" i="12"/>
  <c r="J177" i="12"/>
  <c r="J178" i="12"/>
  <c r="J179" i="12"/>
  <c r="J180" i="12"/>
  <c r="J181" i="12"/>
  <c r="J182" i="12"/>
  <c r="J183" i="12"/>
  <c r="K172" i="12"/>
  <c r="K173" i="12"/>
  <c r="K174" i="12"/>
  <c r="K175" i="12"/>
  <c r="K176" i="12"/>
  <c r="K177" i="12"/>
  <c r="K178" i="12"/>
  <c r="K179" i="12"/>
  <c r="K180" i="12"/>
  <c r="K181" i="12"/>
  <c r="K182" i="12"/>
  <c r="K183" i="12"/>
  <c r="F37" i="8"/>
  <c r="B185" i="8" s="1"/>
  <c r="E17" i="4" s="1"/>
  <c r="B54" i="5" s="1"/>
  <c r="D54" i="5" s="1"/>
  <c r="E54" i="5" s="1"/>
  <c r="F17" i="4" s="1"/>
  <c r="I17" i="4" s="1"/>
  <c r="B82" i="14"/>
  <c r="B83" i="14"/>
  <c r="B84" i="14"/>
  <c r="B107" i="14"/>
  <c r="B108" i="14"/>
  <c r="B76" i="9" s="1"/>
  <c r="B111" i="14"/>
  <c r="B119" i="14"/>
  <c r="B120" i="14"/>
  <c r="B112" i="14"/>
  <c r="B113" i="14"/>
  <c r="B114" i="14"/>
  <c r="B133" i="14" s="1"/>
  <c r="B131" i="14"/>
  <c r="B132" i="14"/>
  <c r="A147" i="14"/>
  <c r="B147" i="14"/>
  <c r="A148" i="14"/>
  <c r="B148" i="14"/>
  <c r="A149" i="14"/>
  <c r="B149" i="14"/>
  <c r="A150" i="14"/>
  <c r="B150" i="14" s="1"/>
  <c r="A151" i="14"/>
  <c r="B151" i="14"/>
  <c r="C72" i="14"/>
  <c r="C73" i="14"/>
  <c r="C78" i="14" s="1"/>
  <c r="E106" i="9" s="1"/>
  <c r="C74" i="14"/>
  <c r="C75" i="14"/>
  <c r="C76" i="14"/>
  <c r="C77" i="14"/>
  <c r="B55" i="14"/>
  <c r="B56" i="14"/>
  <c r="B57" i="14"/>
  <c r="B58" i="14"/>
  <c r="B9" i="14"/>
  <c r="B21" i="14"/>
  <c r="B10" i="14"/>
  <c r="B11" i="14"/>
  <c r="B23" i="14" s="1"/>
  <c r="B12" i="14"/>
  <c r="B24" i="14" s="1"/>
  <c r="E24" i="14" s="1"/>
  <c r="B13" i="14"/>
  <c r="B25" i="14"/>
  <c r="B14" i="14"/>
  <c r="B15" i="14"/>
  <c r="B27" i="14" s="1"/>
  <c r="B16" i="14"/>
  <c r="C9" i="14"/>
  <c r="D9" i="14" s="1"/>
  <c r="C10" i="14"/>
  <c r="D10" i="14" s="1"/>
  <c r="C11" i="14"/>
  <c r="D11" i="14" s="1"/>
  <c r="C12" i="14"/>
  <c r="D12" i="14" s="1"/>
  <c r="C13" i="14"/>
  <c r="D13" i="14" s="1"/>
  <c r="C14" i="14"/>
  <c r="D14" i="14" s="1"/>
  <c r="C15" i="14"/>
  <c r="D15" i="14" s="1"/>
  <c r="C16" i="14"/>
  <c r="D16" i="14" s="1"/>
  <c r="C21" i="14"/>
  <c r="D21" i="14" s="1"/>
  <c r="E21" i="14" s="1"/>
  <c r="B22" i="14"/>
  <c r="C22" i="14"/>
  <c r="D22" i="14"/>
  <c r="E22" i="14" s="1"/>
  <c r="C23" i="14"/>
  <c r="D23" i="14" s="1"/>
  <c r="C24" i="14"/>
  <c r="D24" i="14" s="1"/>
  <c r="C25" i="14"/>
  <c r="D25" i="14"/>
  <c r="B26" i="14"/>
  <c r="C26" i="14"/>
  <c r="D26" i="14" s="1"/>
  <c r="E26" i="14" s="1"/>
  <c r="C27" i="14"/>
  <c r="D27" i="14" s="1"/>
  <c r="B28" i="14"/>
  <c r="E28" i="14" s="1"/>
  <c r="C28" i="14"/>
  <c r="D28" i="14"/>
  <c r="B41" i="14"/>
  <c r="B42" i="14"/>
  <c r="B43" i="14"/>
  <c r="B44" i="14"/>
  <c r="B45" i="14"/>
  <c r="B47" i="14"/>
  <c r="B48" i="14"/>
  <c r="B49" i="14"/>
  <c r="B51" i="14"/>
  <c r="B52" i="14"/>
  <c r="B53" i="14"/>
  <c r="B60" i="14"/>
  <c r="B61" i="14"/>
  <c r="B62" i="14"/>
  <c r="B63" i="14"/>
  <c r="B65" i="14"/>
  <c r="B66" i="14"/>
  <c r="B67" i="14"/>
  <c r="A42" i="12"/>
  <c r="A190" i="12" s="1"/>
  <c r="C190" i="12"/>
  <c r="A43" i="12"/>
  <c r="A191" i="12"/>
  <c r="I191" i="12" s="1"/>
  <c r="C189" i="12"/>
  <c r="A44" i="12"/>
  <c r="A192" i="12" s="1"/>
  <c r="F192" i="12" s="1"/>
  <c r="A45" i="12"/>
  <c r="A193" i="12" s="1"/>
  <c r="E45" i="12"/>
  <c r="B193" i="12" s="1"/>
  <c r="A46" i="12"/>
  <c r="A194" i="12" s="1"/>
  <c r="A47" i="12"/>
  <c r="A195" i="12" s="1"/>
  <c r="C195" i="12"/>
  <c r="A48" i="12"/>
  <c r="A196" i="12"/>
  <c r="G196" i="12" s="1"/>
  <c r="D189" i="12"/>
  <c r="E189" i="12"/>
  <c r="H195" i="12"/>
  <c r="J190" i="12"/>
  <c r="K190" i="12"/>
  <c r="A114" i="14"/>
  <c r="A113" i="14"/>
  <c r="A112" i="14"/>
  <c r="A111" i="14"/>
  <c r="A156" i="9"/>
  <c r="A155" i="9"/>
  <c r="A154" i="9"/>
  <c r="A152" i="9"/>
  <c r="A151" i="9"/>
  <c r="A150" i="9"/>
  <c r="D151" i="14"/>
  <c r="D150" i="14"/>
  <c r="D149" i="14"/>
  <c r="D148" i="14"/>
  <c r="D147" i="14"/>
  <c r="E34" i="12"/>
  <c r="B179" i="12"/>
  <c r="K116" i="12"/>
  <c r="J116" i="12"/>
  <c r="F108" i="12"/>
  <c r="A29" i="14"/>
  <c r="A28" i="14"/>
  <c r="A27" i="14"/>
  <c r="A26" i="14"/>
  <c r="A25" i="14"/>
  <c r="A24" i="14"/>
  <c r="A23" i="14"/>
  <c r="A22" i="14"/>
  <c r="A21" i="14"/>
  <c r="B92" i="5"/>
  <c r="C92" i="5" s="1"/>
  <c r="C85" i="5"/>
  <c r="C83" i="5"/>
  <c r="C44" i="5"/>
  <c r="D44" i="5" s="1"/>
  <c r="C80" i="5"/>
  <c r="C81" i="5" s="1"/>
  <c r="E32" i="10" s="1"/>
  <c r="F32" i="10" s="1"/>
  <c r="C78" i="5"/>
  <c r="E34" i="10"/>
  <c r="F34" i="10" s="1"/>
  <c r="E35" i="10"/>
  <c r="E36" i="10"/>
  <c r="E37" i="10"/>
  <c r="B28" i="5"/>
  <c r="A84" i="14"/>
  <c r="A83" i="14"/>
  <c r="A82" i="14"/>
  <c r="A128" i="9"/>
  <c r="A116" i="9"/>
  <c r="A114" i="9"/>
  <c r="A140" i="9"/>
  <c r="A130" i="9"/>
  <c r="A129" i="9"/>
  <c r="A127" i="9"/>
  <c r="H6" i="4"/>
  <c r="A63" i="5"/>
  <c r="A62" i="5"/>
  <c r="A61" i="5"/>
  <c r="A60" i="5"/>
  <c r="A59" i="5"/>
  <c r="A58" i="5"/>
  <c r="A57" i="5"/>
  <c r="A56" i="5"/>
  <c r="A55" i="5"/>
  <c r="A54" i="5"/>
  <c r="A53" i="5"/>
  <c r="A52" i="5"/>
  <c r="A51" i="5"/>
  <c r="A50" i="5"/>
  <c r="A49" i="5"/>
  <c r="F9" i="1"/>
  <c r="F10" i="1"/>
  <c r="F11" i="1"/>
  <c r="F22" i="1"/>
  <c r="F23" i="1"/>
  <c r="F24" i="1"/>
  <c r="F25" i="1"/>
  <c r="F26" i="1"/>
  <c r="F27" i="1"/>
  <c r="F13" i="1"/>
  <c r="F15" i="1"/>
  <c r="F32" i="1"/>
  <c r="F17" i="1"/>
  <c r="F18" i="1"/>
  <c r="F19" i="1"/>
  <c r="F30" i="1"/>
  <c r="F31" i="1"/>
  <c r="C62" i="1" s="1"/>
  <c r="F34" i="1"/>
  <c r="A4" i="4"/>
  <c r="H24" i="4"/>
  <c r="B89" i="12"/>
  <c r="E32" i="12"/>
  <c r="E30" i="12"/>
  <c r="E27" i="12"/>
  <c r="D38" i="12"/>
  <c r="E38" i="12" s="1"/>
  <c r="E48" i="12"/>
  <c r="B196" i="12" s="1"/>
  <c r="E47" i="12"/>
  <c r="E46" i="12"/>
  <c r="B194" i="12" s="1"/>
  <c r="E44" i="12"/>
  <c r="B192" i="12" s="1"/>
  <c r="E43" i="12"/>
  <c r="B191" i="12" s="1"/>
  <c r="E42" i="12"/>
  <c r="H38" i="10"/>
  <c r="G85" i="5" s="1"/>
  <c r="H35" i="10"/>
  <c r="G81" i="5" s="1"/>
  <c r="L189" i="12"/>
  <c r="F189" i="12"/>
  <c r="K189" i="12"/>
  <c r="J189" i="12"/>
  <c r="I189" i="12"/>
  <c r="H189" i="12"/>
  <c r="G189" i="12"/>
  <c r="C78" i="12"/>
  <c r="E77" i="12"/>
  <c r="B79" i="12"/>
  <c r="C79" i="12" s="1"/>
  <c r="F77" i="12"/>
  <c r="B80" i="12"/>
  <c r="G77" i="12"/>
  <c r="H77" i="12"/>
  <c r="I77" i="12"/>
  <c r="C108" i="12"/>
  <c r="D108" i="12"/>
  <c r="E108" i="12"/>
  <c r="G108" i="12"/>
  <c r="H108" i="12"/>
  <c r="I108" i="12"/>
  <c r="E134" i="12"/>
  <c r="C136" i="12"/>
  <c r="F134" i="12"/>
  <c r="G134" i="12"/>
  <c r="H134" i="12"/>
  <c r="I134" i="12"/>
  <c r="B149" i="12"/>
  <c r="D148" i="12"/>
  <c r="E148" i="12"/>
  <c r="F148" i="12"/>
  <c r="G148" i="12"/>
  <c r="H148" i="12"/>
  <c r="E171" i="12"/>
  <c r="F171" i="12"/>
  <c r="G171" i="12"/>
  <c r="H171" i="12"/>
  <c r="I171" i="12"/>
  <c r="H26" i="4"/>
  <c r="B37" i="5" s="1"/>
  <c r="B39" i="5" s="1"/>
  <c r="A16" i="14"/>
  <c r="A15" i="14"/>
  <c r="A14" i="14"/>
  <c r="A13" i="14"/>
  <c r="A12" i="14"/>
  <c r="A11" i="14"/>
  <c r="A10" i="14"/>
  <c r="A9" i="14"/>
  <c r="B90" i="12"/>
  <c r="B91" i="12"/>
  <c r="B92" i="12"/>
  <c r="B95" i="12"/>
  <c r="B150" i="12"/>
  <c r="B151" i="12"/>
  <c r="B152" i="12"/>
  <c r="B153" i="12"/>
  <c r="B154" i="12"/>
  <c r="B155" i="12"/>
  <c r="B156" i="12"/>
  <c r="B157" i="12"/>
  <c r="B158" i="12"/>
  <c r="B137" i="12"/>
  <c r="B136" i="12"/>
  <c r="B135" i="12"/>
  <c r="J137" i="12"/>
  <c r="J136" i="12"/>
  <c r="J135" i="12"/>
  <c r="I72" i="8"/>
  <c r="B96" i="12"/>
  <c r="J80" i="12"/>
  <c r="J79" i="12"/>
  <c r="J78" i="12"/>
  <c r="B5" i="14"/>
  <c r="B195" i="12"/>
  <c r="B190" i="12"/>
  <c r="A115" i="9"/>
  <c r="B89" i="5"/>
  <c r="E29" i="12"/>
  <c r="B174" i="12" s="1"/>
  <c r="K171" i="12"/>
  <c r="J171" i="12"/>
  <c r="E37" i="12"/>
  <c r="E36" i="12"/>
  <c r="E35" i="12"/>
  <c r="B180" i="12" s="1"/>
  <c r="E33" i="12"/>
  <c r="E31" i="12"/>
  <c r="B176" i="12" s="1"/>
  <c r="E28" i="12"/>
  <c r="B182" i="12"/>
  <c r="B181" i="12"/>
  <c r="B178" i="12"/>
  <c r="B177" i="12"/>
  <c r="B175" i="12"/>
  <c r="B173" i="12"/>
  <c r="K108" i="12"/>
  <c r="K109" i="12"/>
  <c r="K110" i="12"/>
  <c r="K111" i="12"/>
  <c r="K112" i="12"/>
  <c r="K113" i="12"/>
  <c r="K114" i="12"/>
  <c r="K115" i="12"/>
  <c r="K117" i="12"/>
  <c r="K118" i="12"/>
  <c r="K119" i="12"/>
  <c r="J108" i="12"/>
  <c r="J109" i="12"/>
  <c r="J110" i="12"/>
  <c r="J111" i="12"/>
  <c r="J112" i="12"/>
  <c r="J113" i="12"/>
  <c r="J114" i="12"/>
  <c r="J115" i="12"/>
  <c r="J117" i="12"/>
  <c r="J118" i="12"/>
  <c r="J119" i="12"/>
  <c r="B78" i="14"/>
  <c r="B93" i="12"/>
  <c r="B102" i="5"/>
  <c r="C102" i="5"/>
  <c r="B94" i="12"/>
  <c r="B97" i="12"/>
  <c r="B98" i="12"/>
  <c r="C13" i="1"/>
  <c r="C15" i="1"/>
  <c r="C17" i="1"/>
  <c r="C18" i="1"/>
  <c r="C19" i="1"/>
  <c r="C30" i="1"/>
  <c r="C31" i="1"/>
  <c r="C34" i="1"/>
  <c r="C51" i="1"/>
  <c r="F51" i="1"/>
  <c r="C52" i="1"/>
  <c r="F52" i="1"/>
  <c r="C53" i="1"/>
  <c r="F53" i="1"/>
  <c r="C54" i="1"/>
  <c r="F54" i="1"/>
  <c r="C55" i="1"/>
  <c r="F55" i="1"/>
  <c r="C56" i="1"/>
  <c r="F56" i="1"/>
  <c r="C57" i="1"/>
  <c r="F57" i="1"/>
  <c r="C58" i="1"/>
  <c r="F58" i="1"/>
  <c r="C59" i="1"/>
  <c r="F59" i="1"/>
  <c r="C60" i="1"/>
  <c r="F60" i="1"/>
  <c r="F62" i="1"/>
  <c r="F64" i="1"/>
  <c r="F67" i="1"/>
  <c r="F68" i="1"/>
  <c r="F70" i="1"/>
  <c r="C74" i="1"/>
  <c r="F3" i="4"/>
  <c r="H4" i="4"/>
  <c r="H7" i="4"/>
  <c r="B57" i="4"/>
  <c r="B58" i="4"/>
  <c r="B59" i="4"/>
  <c r="B60" i="4"/>
  <c r="F60" i="4"/>
  <c r="B61" i="4"/>
  <c r="B62" i="4"/>
  <c r="B63" i="4"/>
  <c r="E42" i="9"/>
  <c r="B44" i="9"/>
  <c r="B45" i="9"/>
  <c r="B46" i="9"/>
  <c r="B47" i="9"/>
  <c r="B48" i="9"/>
  <c r="B49" i="9"/>
  <c r="A113" i="9"/>
  <c r="A117" i="9"/>
  <c r="A119" i="9"/>
  <c r="A120" i="9"/>
  <c r="A121" i="9"/>
  <c r="A123" i="9"/>
  <c r="A124" i="9"/>
  <c r="A125" i="9"/>
  <c r="A132" i="9"/>
  <c r="A133" i="9"/>
  <c r="A134" i="9"/>
  <c r="A135" i="9"/>
  <c r="A137" i="9"/>
  <c r="A138" i="9"/>
  <c r="A139" i="9"/>
  <c r="A142" i="9"/>
  <c r="A143" i="9"/>
  <c r="A144" i="9"/>
  <c r="A146" i="9"/>
  <c r="A147" i="9"/>
  <c r="A148" i="9"/>
  <c r="F35" i="10"/>
  <c r="F36" i="10"/>
  <c r="F37" i="10"/>
  <c r="C32" i="1"/>
  <c r="E141" i="12"/>
  <c r="H105" i="8" s="1"/>
  <c r="C193" i="12"/>
  <c r="I193" i="12"/>
  <c r="L193" i="12"/>
  <c r="B86" i="14"/>
  <c r="B87" i="14" s="1"/>
  <c r="C63" i="9" s="1"/>
  <c r="C68" i="9" s="1"/>
  <c r="C72" i="9" s="1"/>
  <c r="K184" i="12"/>
  <c r="F140" i="8" s="1"/>
  <c r="J184" i="12"/>
  <c r="F139" i="8"/>
  <c r="I184" i="12"/>
  <c r="F138" i="8" s="1"/>
  <c r="H184" i="12"/>
  <c r="F137" i="8" s="1"/>
  <c r="G184" i="12"/>
  <c r="F136" i="8" s="1"/>
  <c r="F184" i="12"/>
  <c r="F135" i="8"/>
  <c r="E184" i="12"/>
  <c r="F134" i="8" s="1"/>
  <c r="D184" i="12"/>
  <c r="F133" i="8" s="1"/>
  <c r="H138" i="12"/>
  <c r="F138" i="12"/>
  <c r="F141" i="12" s="1"/>
  <c r="H85" i="12"/>
  <c r="H84" i="12" s="1"/>
  <c r="G85" i="12"/>
  <c r="H53" i="8" s="1"/>
  <c r="E85" i="12"/>
  <c r="H51" i="8" s="1"/>
  <c r="C86" i="5"/>
  <c r="E33" i="10" s="1"/>
  <c r="C184" i="12"/>
  <c r="F132" i="8" s="1"/>
  <c r="F36" i="8"/>
  <c r="F38" i="8" s="1"/>
  <c r="D138" i="12"/>
  <c r="D141" i="12" s="1"/>
  <c r="D116" i="12"/>
  <c r="C116" i="12"/>
  <c r="F58" i="4"/>
  <c r="F57" i="4"/>
  <c r="F59" i="4"/>
  <c r="C194" i="12"/>
  <c r="E194" i="12"/>
  <c r="I194" i="12"/>
  <c r="H194" i="12"/>
  <c r="J194" i="12"/>
  <c r="D142" i="12"/>
  <c r="B172" i="12"/>
  <c r="E27" i="14"/>
  <c r="E23" i="14"/>
  <c r="C196" i="12"/>
  <c r="D196" i="12"/>
  <c r="I196" i="12"/>
  <c r="L196" i="12"/>
  <c r="D192" i="12"/>
  <c r="E192" i="12"/>
  <c r="I192" i="12"/>
  <c r="H192" i="12"/>
  <c r="J191" i="12"/>
  <c r="C191" i="12"/>
  <c r="D191" i="12"/>
  <c r="G191" i="12"/>
  <c r="H142" i="12"/>
  <c r="F142" i="12"/>
  <c r="H106" i="8"/>
  <c r="A159" i="12"/>
  <c r="C159" i="12" s="1"/>
  <c r="A120" i="12"/>
  <c r="C120" i="12" s="1"/>
  <c r="I195" i="12"/>
  <c r="G193" i="12"/>
  <c r="F190" i="12"/>
  <c r="E195" i="12"/>
  <c r="D193" i="12"/>
  <c r="D190" i="12"/>
  <c r="B121" i="14"/>
  <c r="H98" i="12"/>
  <c r="H96" i="12"/>
  <c r="H94" i="12"/>
  <c r="H92" i="12"/>
  <c r="H90" i="12"/>
  <c r="G98" i="12"/>
  <c r="G96" i="12"/>
  <c r="G94" i="12"/>
  <c r="G92" i="12"/>
  <c r="G90" i="12"/>
  <c r="F98" i="12"/>
  <c r="F96" i="12"/>
  <c r="F94" i="12"/>
  <c r="F92" i="12"/>
  <c r="F90" i="12"/>
  <c r="E98" i="12"/>
  <c r="E96" i="12"/>
  <c r="E94" i="12"/>
  <c r="E92" i="12"/>
  <c r="E90" i="12"/>
  <c r="D98" i="12"/>
  <c r="D96" i="12"/>
  <c r="D94" i="12"/>
  <c r="D92" i="12"/>
  <c r="D90" i="12"/>
  <c r="I114" i="12"/>
  <c r="I112" i="12"/>
  <c r="I110" i="12"/>
  <c r="H114" i="12"/>
  <c r="H112" i="12"/>
  <c r="H110" i="12"/>
  <c r="G114" i="12"/>
  <c r="G112" i="12"/>
  <c r="G110" i="12"/>
  <c r="F114" i="12"/>
  <c r="F112" i="12"/>
  <c r="F110" i="12"/>
  <c r="E114" i="12"/>
  <c r="E112" i="12"/>
  <c r="E110" i="12"/>
  <c r="D114" i="12"/>
  <c r="D112" i="12"/>
  <c r="D110" i="12"/>
  <c r="C114" i="12"/>
  <c r="C112" i="12"/>
  <c r="C110" i="12"/>
  <c r="H97" i="12"/>
  <c r="H95" i="12"/>
  <c r="H93" i="12"/>
  <c r="H91" i="12"/>
  <c r="H89" i="12"/>
  <c r="G97" i="12"/>
  <c r="G95" i="12"/>
  <c r="G93" i="12"/>
  <c r="G91" i="12"/>
  <c r="G89" i="12"/>
  <c r="G100" i="12" s="1"/>
  <c r="F97" i="12"/>
  <c r="F95" i="12"/>
  <c r="F93" i="12"/>
  <c r="F91" i="12"/>
  <c r="F89" i="12"/>
  <c r="F100" i="12" s="1"/>
  <c r="F104" i="12" s="1"/>
  <c r="H66" i="8" s="1"/>
  <c r="E97" i="12"/>
  <c r="E95" i="12"/>
  <c r="E93" i="12"/>
  <c r="E91" i="12"/>
  <c r="E89" i="12"/>
  <c r="E100" i="12" s="1"/>
  <c r="D97" i="12"/>
  <c r="D95" i="12"/>
  <c r="D93" i="12"/>
  <c r="D91" i="12"/>
  <c r="D89" i="12"/>
  <c r="D85" i="12"/>
  <c r="H50" i="8" s="1"/>
  <c r="I119" i="12"/>
  <c r="I117" i="12"/>
  <c r="I115" i="12"/>
  <c r="I113" i="12"/>
  <c r="I111" i="12"/>
  <c r="I109" i="12"/>
  <c r="H119" i="12"/>
  <c r="H117" i="12"/>
  <c r="H115" i="12"/>
  <c r="H113" i="12"/>
  <c r="H111" i="12"/>
  <c r="H109" i="12"/>
  <c r="G119" i="12"/>
  <c r="G117" i="12"/>
  <c r="G115" i="12"/>
  <c r="G113" i="12"/>
  <c r="G111" i="12"/>
  <c r="G109" i="12"/>
  <c r="F119" i="12"/>
  <c r="F117" i="12"/>
  <c r="F115" i="12"/>
  <c r="F113" i="12"/>
  <c r="F111" i="12"/>
  <c r="F109" i="12"/>
  <c r="E119" i="12"/>
  <c r="E117" i="12"/>
  <c r="E115" i="12"/>
  <c r="E113" i="12"/>
  <c r="E111" i="12"/>
  <c r="E109" i="12"/>
  <c r="D119" i="12"/>
  <c r="D117" i="12"/>
  <c r="D115" i="12"/>
  <c r="D113" i="12"/>
  <c r="D111" i="12"/>
  <c r="D109" i="12"/>
  <c r="C119" i="12"/>
  <c r="C117" i="12"/>
  <c r="C115" i="12"/>
  <c r="C113" i="12"/>
  <c r="C111" i="12"/>
  <c r="C109" i="12"/>
  <c r="E84" i="12"/>
  <c r="J138" i="12"/>
  <c r="F84" i="12"/>
  <c r="H104" i="8"/>
  <c r="B120" i="12"/>
  <c r="F120" i="12"/>
  <c r="F121" i="12" s="1"/>
  <c r="F80" i="8" s="1"/>
  <c r="G120" i="12"/>
  <c r="J120" i="12"/>
  <c r="J121" i="12" s="1"/>
  <c r="F84" i="8" s="1"/>
  <c r="F159" i="12"/>
  <c r="G159" i="12"/>
  <c r="E104" i="12"/>
  <c r="H65" i="8" s="1"/>
  <c r="F103" i="12"/>
  <c r="B122" i="14" l="1"/>
  <c r="F83" i="9" s="1"/>
  <c r="F33" i="10"/>
  <c r="I121" i="12"/>
  <c r="F83" i="8" s="1"/>
  <c r="H100" i="12"/>
  <c r="C121" i="12"/>
  <c r="F77" i="8" s="1"/>
  <c r="G121" i="12"/>
  <c r="F81" i="8" s="1"/>
  <c r="E103" i="12"/>
  <c r="D197" i="12"/>
  <c r="G157" i="8" s="1"/>
  <c r="C137" i="12"/>
  <c r="C80" i="12"/>
  <c r="E159" i="12"/>
  <c r="H54" i="8"/>
  <c r="F191" i="12"/>
  <c r="J196" i="12"/>
  <c r="F141" i="8"/>
  <c r="F147" i="8" s="1"/>
  <c r="B182" i="8" s="1"/>
  <c r="E19" i="4" s="1"/>
  <c r="B56" i="5" s="1"/>
  <c r="D56" i="5" s="1"/>
  <c r="E56" i="5" s="1"/>
  <c r="F19" i="4" s="1"/>
  <c r="H141" i="12"/>
  <c r="H108" i="8" s="1"/>
  <c r="F74" i="1"/>
  <c r="F71" i="1"/>
  <c r="J195" i="12"/>
  <c r="G195" i="12"/>
  <c r="D195" i="12"/>
  <c r="F195" i="12"/>
  <c r="K195" i="12"/>
  <c r="L195" i="12"/>
  <c r="E120" i="12"/>
  <c r="B125" i="12"/>
  <c r="L192" i="12"/>
  <c r="F196" i="12"/>
  <c r="E38" i="10"/>
  <c r="F38" i="10" s="1"/>
  <c r="D92" i="5"/>
  <c r="B99" i="5" s="1"/>
  <c r="C99" i="5" s="1"/>
  <c r="F63" i="10" s="1"/>
  <c r="G194" i="12"/>
  <c r="F194" i="12"/>
  <c r="D194" i="12"/>
  <c r="L194" i="12"/>
  <c r="G190" i="12"/>
  <c r="L190" i="12"/>
  <c r="H190" i="12"/>
  <c r="I190" i="12"/>
  <c r="I197" i="12" s="1"/>
  <c r="G162" i="8" s="1"/>
  <c r="G104" i="12"/>
  <c r="H67" i="8" s="1"/>
  <c r="D17" i="14"/>
  <c r="C27" i="9" s="1"/>
  <c r="D120" i="12"/>
  <c r="D121" i="12" s="1"/>
  <c r="F78" i="8" s="1"/>
  <c r="G84" i="12"/>
  <c r="E190" i="12"/>
  <c r="K194" i="12"/>
  <c r="C62" i="12"/>
  <c r="B183" i="12"/>
  <c r="F193" i="12"/>
  <c r="H193" i="12"/>
  <c r="K193" i="12"/>
  <c r="J193" i="12"/>
  <c r="E193" i="12"/>
  <c r="B129" i="14"/>
  <c r="B127" i="14"/>
  <c r="B128" i="14"/>
  <c r="C100" i="12"/>
  <c r="H120" i="12"/>
  <c r="H121" i="12" s="1"/>
  <c r="F82" i="8" s="1"/>
  <c r="K192" i="12"/>
  <c r="C192" i="12"/>
  <c r="C197" i="12" s="1"/>
  <c r="G156" i="8" s="1"/>
  <c r="J192" i="12"/>
  <c r="J197" i="12" s="1"/>
  <c r="G163" i="8" s="1"/>
  <c r="G192" i="12"/>
  <c r="B17" i="14"/>
  <c r="B123" i="14"/>
  <c r="B124" i="14"/>
  <c r="B125" i="14"/>
  <c r="I120" i="12"/>
  <c r="K120" i="12"/>
  <c r="K121" i="12" s="1"/>
  <c r="F85" i="8" s="1"/>
  <c r="H196" i="12"/>
  <c r="E196" i="12"/>
  <c r="K196" i="12"/>
  <c r="A50" i="9"/>
  <c r="E22" i="4"/>
  <c r="B59" i="5" s="1"/>
  <c r="D59" i="5" s="1"/>
  <c r="E59" i="5" s="1"/>
  <c r="F22" i="4" s="1"/>
  <c r="I142" i="12"/>
  <c r="I141" i="12" s="1"/>
  <c r="H109" i="8" s="1"/>
  <c r="F197" i="12"/>
  <c r="G159" i="8" s="1"/>
  <c r="D159" i="12"/>
  <c r="H159" i="12"/>
  <c r="J141" i="12"/>
  <c r="C51" i="5"/>
  <c r="C50" i="5"/>
  <c r="C67" i="5" s="1"/>
  <c r="L191" i="12"/>
  <c r="E191" i="12"/>
  <c r="H191" i="12"/>
  <c r="K191" i="12"/>
  <c r="E25" i="14"/>
  <c r="E29" i="14" s="1"/>
  <c r="J81" i="12"/>
  <c r="B126" i="12" s="1"/>
  <c r="F88" i="8" s="1"/>
  <c r="D84" i="12"/>
  <c r="G142" i="12"/>
  <c r="G141" i="12"/>
  <c r="H107" i="8" s="1"/>
  <c r="I85" i="12"/>
  <c r="H149" i="12"/>
  <c r="H160" i="12" s="1"/>
  <c r="F149" i="12"/>
  <c r="D149" i="12"/>
  <c r="H99" i="12"/>
  <c r="I118" i="12"/>
  <c r="E118" i="12"/>
  <c r="E121" i="12" s="1"/>
  <c r="F79" i="8" s="1"/>
  <c r="B118" i="12"/>
  <c r="B121" i="12" s="1"/>
  <c r="F76" i="8" s="1"/>
  <c r="H156" i="12"/>
  <c r="G152" i="12"/>
  <c r="F156" i="12"/>
  <c r="C155" i="12"/>
  <c r="C151" i="12"/>
  <c r="H154" i="12"/>
  <c r="G158" i="12"/>
  <c r="G150" i="12"/>
  <c r="F154" i="12"/>
  <c r="E158" i="12"/>
  <c r="E150" i="12"/>
  <c r="D154" i="12"/>
  <c r="C150" i="12"/>
  <c r="C160" i="12" s="1"/>
  <c r="G149" i="12"/>
  <c r="E149" i="12"/>
  <c r="D99" i="12"/>
  <c r="D100" i="12" s="1"/>
  <c r="H151" i="12"/>
  <c r="G155" i="12"/>
  <c r="F151" i="12"/>
  <c r="F150" i="12"/>
  <c r="B126" i="14" l="1"/>
  <c r="D104" i="12"/>
  <c r="H64" i="8" s="1"/>
  <c r="F86" i="8"/>
  <c r="F91" i="8" s="1"/>
  <c r="B176" i="8" s="1"/>
  <c r="E18" i="4" s="1"/>
  <c r="B55" i="5" s="1"/>
  <c r="D55" i="5" s="1"/>
  <c r="E55" i="5" s="1"/>
  <c r="F18" i="4" s="1"/>
  <c r="I18" i="4" s="1"/>
  <c r="B130" i="14"/>
  <c r="F85" i="9"/>
  <c r="H164" i="12"/>
  <c r="H122" i="8" s="1"/>
  <c r="E197" i="12"/>
  <c r="G158" i="8" s="1"/>
  <c r="G166" i="8" s="1"/>
  <c r="B189" i="8" s="1"/>
  <c r="I84" i="12"/>
  <c r="H55" i="8"/>
  <c r="H56" i="8" s="1"/>
  <c r="J85" i="12"/>
  <c r="K197" i="12"/>
  <c r="G164" i="8" s="1"/>
  <c r="H197" i="12"/>
  <c r="G161" i="8" s="1"/>
  <c r="F65" i="10"/>
  <c r="E13" i="4"/>
  <c r="E92" i="5"/>
  <c r="B98" i="5" s="1"/>
  <c r="C98" i="5" s="1"/>
  <c r="F64" i="10" s="1"/>
  <c r="E14" i="4" s="1"/>
  <c r="H104" i="12"/>
  <c r="H68" i="8" s="1"/>
  <c r="L197" i="12"/>
  <c r="G165" i="8" s="1"/>
  <c r="F160" i="12"/>
  <c r="E160" i="12"/>
  <c r="G197" i="12"/>
  <c r="G160" i="8" s="1"/>
  <c r="H110" i="8"/>
  <c r="F145" i="8" s="1"/>
  <c r="B180" i="8" s="1"/>
  <c r="I22" i="4"/>
  <c r="B31" i="5"/>
  <c r="C104" i="12"/>
  <c r="C103" i="12"/>
  <c r="G160" i="12"/>
  <c r="C164" i="12"/>
  <c r="J84" i="12"/>
  <c r="F89" i="8" s="1"/>
  <c r="B174" i="8" s="1"/>
  <c r="B127" i="12"/>
  <c r="F97" i="8" s="1"/>
  <c r="F144" i="8" s="1"/>
  <c r="J142" i="12"/>
  <c r="D160" i="12"/>
  <c r="B173" i="8"/>
  <c r="B29" i="14"/>
  <c r="E17" i="14"/>
  <c r="B159" i="12"/>
  <c r="B99" i="12"/>
  <c r="G103" i="12"/>
  <c r="E20" i="4" l="1"/>
  <c r="B57" i="5" s="1"/>
  <c r="D57" i="5" s="1"/>
  <c r="E57" i="5" s="1"/>
  <c r="F20" i="4" s="1"/>
  <c r="H163" i="12"/>
  <c r="H117" i="8"/>
  <c r="E164" i="12"/>
  <c r="H119" i="8" s="1"/>
  <c r="F92" i="8"/>
  <c r="G164" i="12"/>
  <c r="H121" i="8" s="1"/>
  <c r="G163" i="12"/>
  <c r="F164" i="12"/>
  <c r="H120" i="8" s="1"/>
  <c r="B134" i="14"/>
  <c r="F87" i="9"/>
  <c r="C10" i="1"/>
  <c r="F7" i="1"/>
  <c r="B50" i="5"/>
  <c r="D50" i="5" s="1"/>
  <c r="F8" i="1"/>
  <c r="C7" i="1"/>
  <c r="C9" i="1"/>
  <c r="C8" i="1"/>
  <c r="C22" i="1"/>
  <c r="D27" i="9"/>
  <c r="E31" i="14"/>
  <c r="C163" i="12"/>
  <c r="I104" i="12"/>
  <c r="H63" i="8"/>
  <c r="H69" i="8" s="1"/>
  <c r="F90" i="8" s="1"/>
  <c r="B175" i="8" s="1"/>
  <c r="B177" i="8" s="1"/>
  <c r="E15" i="4" s="1"/>
  <c r="H103" i="12"/>
  <c r="D163" i="12"/>
  <c r="D164" i="12"/>
  <c r="H118" i="8" s="1"/>
  <c r="B179" i="8"/>
  <c r="C23" i="1"/>
  <c r="C12" i="1"/>
  <c r="B51" i="5"/>
  <c r="D51" i="5" s="1"/>
  <c r="E51" i="5" s="1"/>
  <c r="F14" i="4" s="1"/>
  <c r="C26" i="1"/>
  <c r="F12" i="1"/>
  <c r="C11" i="1"/>
  <c r="C24" i="1"/>
  <c r="C27" i="1"/>
  <c r="C25" i="1"/>
  <c r="D103" i="12"/>
  <c r="I103" i="12" s="1"/>
  <c r="B52" i="5" l="1"/>
  <c r="D52" i="5" s="1"/>
  <c r="E52" i="5" s="1"/>
  <c r="F15" i="4" s="1"/>
  <c r="B25" i="5"/>
  <c r="I14" i="4"/>
  <c r="C148" i="14"/>
  <c r="C147" i="14"/>
  <c r="C149" i="14"/>
  <c r="C151" i="14"/>
  <c r="F89" i="9"/>
  <c r="C150" i="14"/>
  <c r="E163" i="12"/>
  <c r="I164" i="12"/>
  <c r="F163" i="12"/>
  <c r="H123" i="8"/>
  <c r="F146" i="8" s="1"/>
  <c r="B46" i="14"/>
  <c r="F27" i="9"/>
  <c r="D61" i="5"/>
  <c r="E50" i="5"/>
  <c r="F13" i="4" s="1"/>
  <c r="I20" i="4"/>
  <c r="B29" i="5"/>
  <c r="F35" i="1"/>
  <c r="C152" i="14" l="1"/>
  <c r="C153" i="14" s="1"/>
  <c r="E107" i="9" s="1"/>
  <c r="E23" i="4" s="1"/>
  <c r="B60" i="5" s="1"/>
  <c r="D60" i="5" s="1"/>
  <c r="E60" i="5" s="1"/>
  <c r="F23" i="4" s="1"/>
  <c r="B32" i="5" s="1"/>
  <c r="B181" i="8"/>
  <c r="B183" i="8" s="1"/>
  <c r="F148" i="8"/>
  <c r="I13" i="4"/>
  <c r="F24" i="4"/>
  <c r="B24" i="5"/>
  <c r="G13" i="4"/>
  <c r="F94" i="9"/>
  <c r="F96" i="9" s="1"/>
  <c r="F98" i="9" s="1"/>
  <c r="F100" i="9" s="1"/>
  <c r="F102" i="9" s="1"/>
  <c r="E61" i="5"/>
  <c r="E63" i="5" s="1"/>
  <c r="D63" i="5"/>
  <c r="B50" i="14"/>
  <c r="D31" i="9"/>
  <c r="B26" i="5"/>
  <c r="I15" i="4"/>
  <c r="I23" i="4" l="1"/>
  <c r="F26" i="4"/>
  <c r="B33" i="5"/>
  <c r="I24" i="4"/>
  <c r="B54" i="14"/>
  <c r="D32" i="9"/>
  <c r="E16" i="4"/>
  <c r="B191" i="8"/>
  <c r="B59" i="14" l="1"/>
  <c r="D33" i="9"/>
  <c r="B53" i="5"/>
  <c r="D53" i="5" s="1"/>
  <c r="E53" i="5" s="1"/>
  <c r="F16" i="4" s="1"/>
  <c r="B27" i="5" s="1"/>
  <c r="F30" i="4"/>
  <c r="B36" i="5"/>
  <c r="I26" i="4"/>
  <c r="D34" i="9" l="1"/>
  <c r="B64" i="14"/>
  <c r="D35" i="9" l="1"/>
  <c r="B68" i="14"/>
  <c r="D37" i="9" l="1"/>
  <c r="D36" i="9"/>
  <c r="E105" i="9"/>
  <c r="E108" i="9" l="1"/>
  <c r="E21" i="4"/>
  <c r="B58" i="5" l="1"/>
  <c r="D58" i="5" s="1"/>
  <c r="E58" i="5" s="1"/>
  <c r="F21" i="4" s="1"/>
  <c r="E24" i="4"/>
  <c r="E26" i="4" l="1"/>
  <c r="B61" i="5"/>
  <c r="B30" i="5"/>
  <c r="I21" i="4"/>
  <c r="B63" i="5" l="1"/>
  <c r="E30" i="4"/>
  <c r="B65" i="5" s="1"/>
  <c r="B66" i="5" s="1"/>
  <c r="B67" i="5" s="1"/>
  <c r="D67" i="5" s="1"/>
  <c r="C67" i="1" l="1"/>
  <c r="C68" i="1" s="1"/>
  <c r="E67" i="5"/>
</calcChain>
</file>

<file path=xl/comments1.xml><?xml version="1.0" encoding="utf-8"?>
<comments xmlns="http://schemas.openxmlformats.org/spreadsheetml/2006/main">
  <authors>
    <author>hUGGINS</author>
  </authors>
  <commentList>
    <comment ref="I63" authorId="0" shapeId="0">
      <text>
        <r>
          <rPr>
            <b/>
            <sz val="9"/>
            <color indexed="81"/>
            <rFont val="Tahoma"/>
          </rPr>
          <t>hUGGINS:</t>
        </r>
        <r>
          <rPr>
            <sz val="9"/>
            <color indexed="81"/>
            <rFont val="Tahoma"/>
          </rPr>
          <t xml:space="preserve">
list hidden H45-54
</t>
        </r>
      </text>
    </comment>
    <comment ref="I118" authorId="0" shapeId="0">
      <text>
        <r>
          <rPr>
            <b/>
            <sz val="9"/>
            <color indexed="81"/>
            <rFont val="Tahoma"/>
          </rPr>
          <t>hUGGINS:</t>
        </r>
        <r>
          <rPr>
            <sz val="9"/>
            <color indexed="81"/>
            <rFont val="Tahoma"/>
          </rPr>
          <t xml:space="preserve">
list hidden H45-54
</t>
        </r>
      </text>
    </comment>
  </commentList>
</comments>
</file>

<file path=xl/comments2.xml><?xml version="1.0" encoding="utf-8"?>
<comments xmlns="http://schemas.openxmlformats.org/spreadsheetml/2006/main">
  <authors>
    <author>hUGGINS</author>
  </authors>
  <commentList>
    <comment ref="B67" authorId="0" shapeId="0">
      <text>
        <r>
          <rPr>
            <b/>
            <sz val="9"/>
            <color indexed="81"/>
            <rFont val="Tahoma"/>
          </rPr>
          <t xml:space="preserve">assumes all household stops commuting
</t>
        </r>
      </text>
    </comment>
  </commentList>
</comments>
</file>

<file path=xl/sharedStrings.xml><?xml version="1.0" encoding="utf-8"?>
<sst xmlns="http://schemas.openxmlformats.org/spreadsheetml/2006/main" count="1315" uniqueCount="849">
  <si>
    <t xml:space="preserve">Whilst every attempt has been made to make the Quicksilver Calculator as accurate as possible, its methodology relies on a number of assumptions. As such, the results should be viewed as illustrative, not exact, and information should not be relied upon as a substitute for formal advice. LCWO will not be held responsible for any loss, however arising, from the use of, or reliance on this information.   </t>
  </si>
  <si>
    <t>This work is part of the Low Carbon Living Toolkit and is licensed under a Creative Commons Attribution-NonCommercial-ShareAlike 3.0 Unported License.                 If you have any questions or tips to suggest please email them to us at lowcarbon@hotmail.co.uk.</t>
  </si>
  <si>
    <t>For reference: Key emission factors used to calculate your carbon footprint are as follows:</t>
  </si>
  <si>
    <t>Multiplier</t>
  </si>
  <si>
    <t>Percentage</t>
  </si>
  <si>
    <t>Tonnes CO2 per annum</t>
  </si>
  <si>
    <t>originally taken from Act on co2 methodology p40</t>
  </si>
  <si>
    <t>Medium car</t>
  </si>
  <si>
    <t>Motorbike</t>
  </si>
  <si>
    <t>Small car</t>
  </si>
  <si>
    <t>Long haul - business</t>
  </si>
  <si>
    <t xml:space="preserve">A. Your vehicle ownership </t>
  </si>
  <si>
    <t>Total vehicle emissions</t>
  </si>
  <si>
    <t>We never use disposable or single use items eg nappies, bags.</t>
  </si>
  <si>
    <t>We always buy products with the minimum possible packaging.</t>
  </si>
  <si>
    <t>We recycle or pass on all our unwanted clothes and textiles.</t>
  </si>
  <si>
    <t>We always mend broken items rather than replace them.</t>
  </si>
  <si>
    <t>We regularly upgrade our household technology.</t>
  </si>
  <si>
    <t>We replace electronic and electrical items when they break.</t>
  </si>
  <si>
    <t>We don't have many electrical or electronic items.</t>
  </si>
  <si>
    <t>We like to keep up with the latest fashions and buy new clothes every week.</t>
  </si>
  <si>
    <t>We buy new clothes to replace worn out items or for special occasions.</t>
  </si>
  <si>
    <t>We rarely buy new clothes.</t>
  </si>
  <si>
    <t>We never buy recycled products.</t>
  </si>
  <si>
    <t>We sometimes buy recycled products.</t>
  </si>
  <si>
    <t>We always buy recycled products.</t>
  </si>
  <si>
    <t>We never buy second hand items.</t>
  </si>
  <si>
    <t>We sometimes buy second hand items.</t>
  </si>
  <si>
    <t>Whenever possible we buy second hand items.</t>
  </si>
  <si>
    <t>We recycle all our glass, tins, paper, card and plastic.</t>
  </si>
  <si>
    <t>Commuting</t>
  </si>
  <si>
    <t>Total (kg)</t>
  </si>
  <si>
    <t>Activity</t>
  </si>
  <si>
    <t>flights</t>
  </si>
  <si>
    <t>Car</t>
  </si>
  <si>
    <t>Do you already do this?</t>
  </si>
  <si>
    <t>if yes…</t>
  </si>
  <si>
    <t>Vehicle Type</t>
  </si>
  <si>
    <t>Will you pledge to do this?</t>
  </si>
  <si>
    <t>10% of electricity</t>
  </si>
  <si>
    <t>4% of house heating</t>
  </si>
  <si>
    <t xml:space="preserve">80% lighting </t>
  </si>
  <si>
    <t>17% heating</t>
  </si>
  <si>
    <t>Action you can take</t>
  </si>
  <si>
    <t>Possible Impact resulting from this action</t>
  </si>
  <si>
    <t>No</t>
  </si>
  <si>
    <t>tonnes</t>
  </si>
  <si>
    <t>kg</t>
  </si>
  <si>
    <t>Distances</t>
  </si>
  <si>
    <t>To convert</t>
  </si>
  <si>
    <t>multipler</t>
  </si>
  <si>
    <t>miles</t>
  </si>
  <si>
    <t>kilometres</t>
  </si>
  <si>
    <t>electricity</t>
  </si>
  <si>
    <t>gas</t>
  </si>
  <si>
    <t>wood</t>
  </si>
  <si>
    <t>train</t>
  </si>
  <si>
    <t>car</t>
  </si>
  <si>
    <t>CO2 in g</t>
  </si>
  <si>
    <t>UK average</t>
  </si>
  <si>
    <t>Pool car (eg street car)</t>
  </si>
  <si>
    <t>Part 1 CONVERSION FACTORS</t>
  </si>
  <si>
    <t>Part 2 CALCULATIONS</t>
  </si>
  <si>
    <t>Minus lifts you give others</t>
  </si>
  <si>
    <t>Plus lifts you get</t>
  </si>
  <si>
    <t>Summary for your Vehicles</t>
  </si>
  <si>
    <t>Calculating lifts you get from others</t>
  </si>
  <si>
    <t>JOURNEY LENGTH</t>
  </si>
  <si>
    <t>share to non-householders</t>
  </si>
  <si>
    <t>Summary of your commuting</t>
  </si>
  <si>
    <t xml:space="preserve">How well do these statements describe your household?  </t>
  </si>
  <si>
    <t>Waste Look up table</t>
  </si>
  <si>
    <t>Answer</t>
  </si>
  <si>
    <t>question</t>
  </si>
  <si>
    <t>percentage change</t>
  </si>
  <si>
    <t>total adjustment</t>
  </si>
  <si>
    <t>look up table</t>
  </si>
  <si>
    <t>Recycled</t>
  </si>
  <si>
    <t>Second hand</t>
  </si>
  <si>
    <t>Answers to spending questions</t>
  </si>
  <si>
    <t>Share of vehicle emissions relating to social travel</t>
  </si>
  <si>
    <t>Grand Total</t>
  </si>
  <si>
    <t>calculated in questionnaire</t>
  </si>
  <si>
    <r>
      <t>tonnes C0</t>
    </r>
    <r>
      <rPr>
        <b/>
        <vertAlign val="subscript"/>
        <sz val="10"/>
        <rFont val="Arial"/>
        <family val="2"/>
      </rPr>
      <t>2</t>
    </r>
  </si>
  <si>
    <t>engine specific factors</t>
  </si>
  <si>
    <t>Kg CO2</t>
  </si>
  <si>
    <t>Miles</t>
  </si>
  <si>
    <t>You</t>
  </si>
  <si>
    <t>Yours as a percentage</t>
  </si>
  <si>
    <t>Thermostat down 1 degree</t>
  </si>
  <si>
    <t>3% heating</t>
  </si>
  <si>
    <t>333kg per person</t>
  </si>
  <si>
    <t>1 tonne for household</t>
  </si>
  <si>
    <t>From</t>
  </si>
  <si>
    <t>To</t>
  </si>
  <si>
    <t>bus</t>
  </si>
  <si>
    <t>coach</t>
  </si>
  <si>
    <t>kg co2</t>
  </si>
  <si>
    <t>commuting</t>
  </si>
  <si>
    <t>what if more than one householder in a car and giving lifts?</t>
  </si>
  <si>
    <t>Averages Barchart Generator</t>
  </si>
  <si>
    <t>Impact on your CO2 emissions of this pledge     ( tonnes a year)</t>
  </si>
  <si>
    <t>What this means in CO2 reductions     (tonnes a year)</t>
  </si>
  <si>
    <t>Other activities you might like to consider which will also have an impact include:</t>
  </si>
  <si>
    <t xml:space="preserve">Not heating your conservatory or using patio heaters </t>
  </si>
  <si>
    <t>Using "cook smart" tecniques to reduce fuel used for cooking</t>
  </si>
  <si>
    <t>Using non air-conditioning based strategies to cool your house.</t>
  </si>
  <si>
    <t>}</t>
  </si>
  <si>
    <t>km to miles</t>
  </si>
  <si>
    <t>annual mileage</t>
  </si>
  <si>
    <t>J1</t>
  </si>
  <si>
    <t>emission per mile</t>
  </si>
  <si>
    <t>basic emissions g per km</t>
  </si>
  <si>
    <t>convert to kg per mile + 15% uplift</t>
  </si>
  <si>
    <t>total carbon contrib (kg)</t>
  </si>
  <si>
    <t>km per mile conversion</t>
  </si>
  <si>
    <t>none</t>
  </si>
  <si>
    <t>We eat ready meals less than once a week</t>
  </si>
  <si>
    <t>We never eat ready meals</t>
  </si>
  <si>
    <t>Seasonality</t>
  </si>
  <si>
    <t>Airfreight</t>
  </si>
  <si>
    <t>organic</t>
  </si>
  <si>
    <t>ready meals</t>
  </si>
  <si>
    <t>seasonal</t>
  </si>
  <si>
    <t>We only eat fruit and veg that’s in season locally</t>
  </si>
  <si>
    <t>minus 2.5%</t>
  </si>
  <si>
    <t>plus 2.5%</t>
  </si>
  <si>
    <t>airfreight</t>
  </si>
  <si>
    <t>grow your own</t>
  </si>
  <si>
    <t>kitchen waste</t>
  </si>
  <si>
    <t>minus 0.5%</t>
  </si>
  <si>
    <t>minus 1.25%</t>
  </si>
  <si>
    <t>minus 7.5%</t>
  </si>
  <si>
    <t>minus 11%</t>
  </si>
  <si>
    <t>nb we what not included</t>
  </si>
  <si>
    <t>these in pledge calulations as</t>
  </si>
  <si>
    <t xml:space="preserve">10% house heating </t>
  </si>
  <si>
    <t>TVRs on radiators</t>
  </si>
  <si>
    <t>low carbon holidays</t>
  </si>
  <si>
    <t>micro CHP</t>
  </si>
  <si>
    <t>100% remaining electricity</t>
  </si>
  <si>
    <t>nb this is calculated assuming that activities pledged in 1 and 2 are carried out</t>
  </si>
  <si>
    <t>reduce car commute by 20%</t>
  </si>
  <si>
    <t>20% less</t>
  </si>
  <si>
    <t>Public transport</t>
  </si>
  <si>
    <t>Flights</t>
  </si>
  <si>
    <t>30% electricity bill</t>
  </si>
  <si>
    <t>up to 30% electricity</t>
  </si>
  <si>
    <t>Meat and low dairy day</t>
  </si>
  <si>
    <t xml:space="preserve">  </t>
  </si>
  <si>
    <t>2. Commuting journeys in other people's car or hire cars</t>
  </si>
  <si>
    <t>Table Calc A2</t>
  </si>
  <si>
    <t>Calculations done in data entry table</t>
  </si>
  <si>
    <t>B. Your commute</t>
  </si>
  <si>
    <t xml:space="preserve">streetcar data VW golf Diesel 2.0tdi  </t>
  </si>
  <si>
    <t>Total vehicle emissions Kg</t>
  </si>
  <si>
    <t>Allocating your vehicle emissions to social &amp; commuting activities</t>
  </si>
  <si>
    <t>total allocated to commuting</t>
  </si>
  <si>
    <t>from questionnaire Travel section 1 summary</t>
  </si>
  <si>
    <t>all commuting emission from B1 above</t>
  </si>
  <si>
    <t>remainder relating to domestic travel</t>
  </si>
  <si>
    <t xml:space="preserve">We can then adjust this according to your spending habits and approach to waste management.  </t>
  </si>
  <si>
    <t>car sharing on journeys where possible or switch from car to public transport              }</t>
  </si>
  <si>
    <t>and hard to calculate</t>
  </si>
  <si>
    <t xml:space="preserve">the impact is so variable </t>
  </si>
  <si>
    <t>whole house refurbishment                                                                                                     }</t>
  </si>
  <si>
    <t>5: Renewable Energy supplier</t>
  </si>
  <si>
    <t>Travel section Calculations</t>
  </si>
  <si>
    <t>share to lifts</t>
  </si>
  <si>
    <t xml:space="preserve">Not all green energy tariffs are the same.  Some genuniely invest in the development of new renewables and ensure that for every </t>
  </si>
  <si>
    <t>are obliged to generate under government regulation, and charge you a premium for the privilege.</t>
  </si>
  <si>
    <t xml:space="preserve">unit of energy that you consume a new unit of renewable energy is generated.  Others simply sell on the renewable energy that they </t>
  </si>
  <si>
    <t>WWF recommend the following service to identify suppliers of renewable energy. http://www.eugenestandard.org/index.cfm?inc=page&amp;id=tool</t>
  </si>
  <si>
    <t>50g of meat pp a day</t>
  </si>
  <si>
    <t>need to reduce by impact of first tier</t>
  </si>
  <si>
    <t>6% of heating</t>
  </si>
  <si>
    <t>40% heating &amp; water bill</t>
  </si>
  <si>
    <t>2050 target</t>
  </si>
  <si>
    <t>Pool car (eg zipcar)</t>
  </si>
  <si>
    <r>
      <t>CO</t>
    </r>
    <r>
      <rPr>
        <b/>
        <vertAlign val="subscript"/>
        <sz val="10"/>
        <rFont val="Arial"/>
        <family val="2"/>
      </rPr>
      <t xml:space="preserve">2 </t>
    </r>
    <r>
      <rPr>
        <b/>
        <sz val="10"/>
        <rFont val="Arial"/>
      </rPr>
      <t>contribution  (household)</t>
    </r>
  </si>
  <si>
    <r>
      <t>From the information above, we estimate the following amount of CO</t>
    </r>
    <r>
      <rPr>
        <vertAlign val="subscript"/>
        <sz val="10"/>
        <rFont val="Arial"/>
        <family val="2"/>
      </rPr>
      <t xml:space="preserve">2 </t>
    </r>
    <r>
      <rPr>
        <sz val="10"/>
        <rFont val="Arial"/>
      </rPr>
      <t xml:space="preserve">is generated each year as a result of powering your home. </t>
    </r>
  </si>
  <si>
    <r>
      <t>Total CO</t>
    </r>
    <r>
      <rPr>
        <vertAlign val="subscript"/>
        <sz val="10"/>
        <rFont val="Arial"/>
        <family val="2"/>
      </rPr>
      <t xml:space="preserve">2 </t>
    </r>
    <r>
      <rPr>
        <sz val="10"/>
        <rFont val="Arial"/>
      </rPr>
      <t>emissions from your vehicles</t>
    </r>
  </si>
  <si>
    <r>
      <t>Annual share of CO</t>
    </r>
    <r>
      <rPr>
        <vertAlign val="subscript"/>
        <sz val="10"/>
        <rFont val="Arial"/>
        <family val="2"/>
      </rPr>
      <t>2</t>
    </r>
    <r>
      <rPr>
        <sz val="10"/>
        <rFont val="Arial"/>
      </rPr>
      <t xml:space="preserve"> emissions from vehicle ownership</t>
    </r>
  </si>
  <si>
    <r>
      <t>This section estimates your share of CO</t>
    </r>
    <r>
      <rPr>
        <vertAlign val="subscript"/>
        <sz val="10"/>
        <rFont val="Arial"/>
        <family val="2"/>
      </rPr>
      <t>2</t>
    </r>
    <r>
      <rPr>
        <sz val="10"/>
        <rFont val="Arial"/>
      </rPr>
      <t xml:space="preserve"> emissions from lifts you get from other people or hire cars used to travel to and from work.</t>
    </r>
  </si>
  <si>
    <r>
      <t>We calculate the CO</t>
    </r>
    <r>
      <rPr>
        <b/>
        <vertAlign val="subscript"/>
        <sz val="10"/>
        <rFont val="Arial"/>
        <family val="2"/>
      </rPr>
      <t>2</t>
    </r>
    <r>
      <rPr>
        <b/>
        <sz val="10"/>
        <rFont val="Arial"/>
      </rPr>
      <t xml:space="preserve"> emissions relating to your social journeys in your vehicles to be</t>
    </r>
  </si>
  <si>
    <r>
      <t>kg CO</t>
    </r>
    <r>
      <rPr>
        <b/>
        <vertAlign val="subscript"/>
        <sz val="10"/>
        <color indexed="8"/>
        <rFont val="Arial"/>
        <family val="2"/>
      </rPr>
      <t>2</t>
    </r>
  </si>
  <si>
    <r>
      <t>Tonnes CO</t>
    </r>
    <r>
      <rPr>
        <b/>
        <vertAlign val="subscript"/>
        <sz val="10"/>
        <color indexed="8"/>
        <rFont val="Arial"/>
        <family val="2"/>
      </rPr>
      <t>2</t>
    </r>
  </si>
  <si>
    <r>
      <t>Total (tonnes CO</t>
    </r>
    <r>
      <rPr>
        <b/>
        <vertAlign val="subscript"/>
        <sz val="10"/>
        <rFont val="Arial"/>
        <family val="2"/>
      </rPr>
      <t>2</t>
    </r>
    <r>
      <rPr>
        <b/>
        <sz val="10"/>
        <rFont val="Arial"/>
      </rPr>
      <t>)</t>
    </r>
  </si>
  <si>
    <r>
      <t>Your household's travel CO</t>
    </r>
    <r>
      <rPr>
        <vertAlign val="subscript"/>
        <sz val="10"/>
        <rFont val="Arial"/>
        <family val="2"/>
      </rPr>
      <t>2</t>
    </r>
    <r>
      <rPr>
        <sz val="10"/>
        <rFont val="Arial"/>
      </rPr>
      <t xml:space="preserve"> emissions for the past 12 months:</t>
    </r>
  </si>
  <si>
    <r>
      <t>This final section looks at how your diet and purchasing choices contribute to your carbon footprint.  Getting an exact measure of your lifestyle in terms of CO</t>
    </r>
    <r>
      <rPr>
        <vertAlign val="subscript"/>
        <sz val="10"/>
        <rFont val="Arial"/>
        <family val="2"/>
      </rPr>
      <t>2</t>
    </r>
    <r>
      <rPr>
        <sz val="10"/>
        <rFont val="Arial"/>
      </rPr>
      <t xml:space="preserve"> emissions is extremely difficult but the questions below help give an indication as to how the choices you and your household make are likely to impact on your overall carbon footprint. </t>
    </r>
  </si>
  <si>
    <r>
      <t>CO</t>
    </r>
    <r>
      <rPr>
        <b/>
        <vertAlign val="subscript"/>
        <sz val="10"/>
        <rFont val="Arial"/>
        <family val="2"/>
      </rPr>
      <t>2</t>
    </r>
    <r>
      <rPr>
        <b/>
        <sz val="10"/>
        <rFont val="Arial"/>
      </rPr>
      <t xml:space="preserve"> emission</t>
    </r>
  </si>
  <si>
    <r>
      <t>Organic</t>
    </r>
    <r>
      <rPr>
        <sz val="7"/>
        <rFont val="Arial"/>
        <family val="2"/>
      </rPr>
      <t xml:space="preserve">                        Fruit, veg, meat, dairy, grains, pulses</t>
    </r>
  </si>
  <si>
    <r>
      <t xml:space="preserve">Ready Meals </t>
    </r>
    <r>
      <rPr>
        <sz val="7"/>
        <rFont val="Arial"/>
        <family val="2"/>
      </rPr>
      <t>Chilled processed food</t>
    </r>
  </si>
  <si>
    <r>
      <t xml:space="preserve">Kitchen Waste </t>
    </r>
    <r>
      <rPr>
        <sz val="7"/>
        <rFont val="Arial"/>
        <family val="2"/>
      </rPr>
      <t>Home compost and food waste collections</t>
    </r>
  </si>
  <si>
    <r>
      <t>In this section, we account for the CO</t>
    </r>
    <r>
      <rPr>
        <vertAlign val="subscript"/>
        <sz val="10"/>
        <rFont val="Arial"/>
        <family val="2"/>
      </rPr>
      <t>2</t>
    </r>
    <r>
      <rPr>
        <sz val="10"/>
        <rFont val="Arial"/>
      </rPr>
      <t xml:space="preserve"> stemming from the food consumption of pets.  How many of the following four-legged friends live in your household?  </t>
    </r>
  </si>
  <si>
    <r>
      <t>Total kg CO</t>
    </r>
    <r>
      <rPr>
        <b/>
        <vertAlign val="subscript"/>
        <sz val="10"/>
        <rFont val="Arial"/>
        <family val="2"/>
      </rPr>
      <t>2</t>
    </r>
  </si>
  <si>
    <r>
      <t>Finally, we need to allocate a share of the CO</t>
    </r>
    <r>
      <rPr>
        <vertAlign val="subscript"/>
        <sz val="10"/>
        <rFont val="Arial"/>
        <family val="2"/>
      </rPr>
      <t>2</t>
    </r>
    <r>
      <rPr>
        <sz val="10"/>
        <rFont val="Arial"/>
      </rPr>
      <t xml:space="preserve"> emissions resulting from our discretionary spending on the products we purchase and services we use. </t>
    </r>
  </si>
  <si>
    <r>
      <t>tonnes CO</t>
    </r>
    <r>
      <rPr>
        <vertAlign val="subscript"/>
        <sz val="10"/>
        <rFont val="Arial"/>
        <family val="2"/>
      </rPr>
      <t>2</t>
    </r>
  </si>
  <si>
    <r>
      <t>Tonnes of CO</t>
    </r>
    <r>
      <rPr>
        <b/>
        <vertAlign val="subscript"/>
        <sz val="10"/>
        <rFont val="Arial"/>
        <family val="2"/>
      </rPr>
      <t>2</t>
    </r>
  </si>
  <si>
    <r>
      <t>Based on the information given in your questionnaire, the annual CO</t>
    </r>
    <r>
      <rPr>
        <vertAlign val="subscript"/>
        <sz val="11"/>
        <rFont val="Arial"/>
        <family val="2"/>
      </rPr>
      <t xml:space="preserve">2 </t>
    </r>
    <r>
      <rPr>
        <sz val="11"/>
        <rFont val="Arial"/>
        <family val="2"/>
      </rPr>
      <t xml:space="preserve">emissions resulting from powering your house, your travel to work, personal travel and the goods and services you buy is estimated to be: </t>
    </r>
  </si>
  <si>
    <r>
      <t>Annual CO</t>
    </r>
    <r>
      <rPr>
        <b/>
        <vertAlign val="subscript"/>
        <sz val="10"/>
        <rFont val="Arial"/>
        <family val="2"/>
      </rPr>
      <t>2</t>
    </r>
    <r>
      <rPr>
        <b/>
        <sz val="10"/>
        <rFont val="Arial"/>
      </rPr>
      <t xml:space="preserve"> emissions in tonnes (GHG equivalent)</t>
    </r>
  </si>
  <si>
    <r>
      <t>Total annual CO</t>
    </r>
    <r>
      <rPr>
        <b/>
        <vertAlign val="subscript"/>
        <sz val="14"/>
        <rFont val="Arial"/>
        <family val="2"/>
      </rPr>
      <t>2</t>
    </r>
    <r>
      <rPr>
        <b/>
        <sz val="14"/>
        <rFont val="Arial"/>
        <family val="2"/>
      </rPr>
      <t xml:space="preserve"> emissions</t>
    </r>
  </si>
  <si>
    <r>
      <t>.</t>
    </r>
    <r>
      <rPr>
        <b/>
        <sz val="10"/>
        <rFont val="Arial"/>
      </rPr>
      <t xml:space="preserve">     Compared to average</t>
    </r>
  </si>
  <si>
    <r>
      <t>kWh to Kg CO</t>
    </r>
    <r>
      <rPr>
        <vertAlign val="subscript"/>
        <sz val="7"/>
        <rFont val="Arial"/>
        <family val="2"/>
      </rPr>
      <t>2</t>
    </r>
  </si>
  <si>
    <r>
      <t>Miles to Kg CO</t>
    </r>
    <r>
      <rPr>
        <vertAlign val="subscript"/>
        <sz val="7"/>
        <rFont val="Arial"/>
        <family val="2"/>
      </rPr>
      <t>2</t>
    </r>
  </si>
  <si>
    <r>
      <t>Litres to Kg CO</t>
    </r>
    <r>
      <rPr>
        <vertAlign val="subscript"/>
        <sz val="7"/>
        <rFont val="Arial"/>
        <family val="2"/>
      </rPr>
      <t>2</t>
    </r>
  </si>
  <si>
    <r>
      <t>Kilos to Kg CO</t>
    </r>
    <r>
      <rPr>
        <vertAlign val="subscript"/>
        <sz val="7"/>
        <rFont val="Arial"/>
        <family val="2"/>
      </rPr>
      <t>2</t>
    </r>
  </si>
  <si>
    <r>
      <t>We use Gross CV direct emissions and include CO</t>
    </r>
    <r>
      <rPr>
        <vertAlign val="subscript"/>
        <sz val="7"/>
        <rFont val="Arial"/>
        <family val="2"/>
      </rPr>
      <t>2</t>
    </r>
    <r>
      <rPr>
        <sz val="7"/>
        <rFont val="Arial"/>
        <family val="2"/>
      </rPr>
      <t>, CH</t>
    </r>
    <r>
      <rPr>
        <vertAlign val="subscript"/>
        <sz val="7"/>
        <rFont val="Arial"/>
        <family val="2"/>
      </rPr>
      <t>4</t>
    </r>
    <r>
      <rPr>
        <sz val="7"/>
        <rFont val="Arial"/>
        <family val="2"/>
      </rPr>
      <t xml:space="preserve"> and N</t>
    </r>
    <r>
      <rPr>
        <vertAlign val="subscript"/>
        <sz val="7"/>
        <rFont val="Arial"/>
        <family val="2"/>
      </rPr>
      <t>2</t>
    </r>
    <r>
      <rPr>
        <sz val="7"/>
        <rFont val="Arial"/>
        <family val="2"/>
      </rPr>
      <t>O</t>
    </r>
  </si>
  <si>
    <r>
      <t>Annual CO</t>
    </r>
    <r>
      <rPr>
        <vertAlign val="subscript"/>
        <sz val="10"/>
        <rFont val="Arial"/>
        <family val="2"/>
      </rPr>
      <t xml:space="preserve">2 </t>
    </r>
    <r>
      <rPr>
        <sz val="10"/>
        <rFont val="Arial"/>
      </rPr>
      <t>emission (tonnes)</t>
    </r>
  </si>
  <si>
    <t>for t &amp; l</t>
  </si>
  <si>
    <t>No. of people included in your footprint</t>
  </si>
  <si>
    <t>Address</t>
  </si>
  <si>
    <t>B. Who do you want to include in this calculation?</t>
  </si>
  <si>
    <t>for pre-paid customers use 4p if not known</t>
  </si>
  <si>
    <t>for pre-paid customers use 13.5p if not known</t>
  </si>
  <si>
    <t xml:space="preserve">for green energy tariff </t>
  </si>
  <si>
    <t>minus original figure to leave elec</t>
  </si>
  <si>
    <t>pp</t>
  </si>
  <si>
    <t>add this to original indiv</t>
  </si>
  <si>
    <t>total for household on green energy</t>
  </si>
  <si>
    <t>total elec</t>
  </si>
  <si>
    <t>We never eat air freighted goods</t>
  </si>
  <si>
    <t>We sometimes eat airfeighted goods</t>
  </si>
  <si>
    <t>We often eat airfeighted goods</t>
  </si>
  <si>
    <t>Rarely buy organic food</t>
  </si>
  <si>
    <t>Your personal footprint showing emissions by activity</t>
  </si>
  <si>
    <t>see I told you nothing was here</t>
  </si>
  <si>
    <t>None</t>
  </si>
  <si>
    <t xml:space="preserve">none </t>
  </si>
  <si>
    <t>GCD Uplift Factor - already included</t>
  </si>
  <si>
    <t>used DEFRA 2010 figures for update</t>
  </si>
  <si>
    <t>radiative forcing</t>
  </si>
  <si>
    <t>proportion of householders in car</t>
  </si>
  <si>
    <t>household share</t>
  </si>
  <si>
    <t>correcting for zero returns</t>
  </si>
  <si>
    <t>Total for your own vehicles</t>
  </si>
  <si>
    <t>Vehicle ownership</t>
  </si>
  <si>
    <t>Yes</t>
  </si>
  <si>
    <t>Bus</t>
  </si>
  <si>
    <t>Coach</t>
  </si>
  <si>
    <t>Train</t>
  </si>
  <si>
    <t>Compared to the UK average</t>
  </si>
  <si>
    <t>Green Electricity</t>
  </si>
  <si>
    <t>Global</t>
  </si>
  <si>
    <t>Section 1: About you and your household</t>
  </si>
  <si>
    <t>Number of bedrooms in your house</t>
  </si>
  <si>
    <t>Type of house</t>
  </si>
  <si>
    <t>No. of adults in your household (over 18)</t>
  </si>
  <si>
    <t>Section 2: Your domestic energy consumption</t>
  </si>
  <si>
    <t>notes</t>
  </si>
  <si>
    <t>Your vehicle emissions relating to commuting</t>
  </si>
  <si>
    <t>Dairy</t>
  </si>
  <si>
    <t>dairy</t>
  </si>
  <si>
    <t>result</t>
  </si>
  <si>
    <t>above average</t>
  </si>
  <si>
    <t>Dairy look up</t>
  </si>
  <si>
    <t>low</t>
  </si>
  <si>
    <t>average</t>
  </si>
  <si>
    <t>lots</t>
  </si>
  <si>
    <t>new base</t>
  </si>
  <si>
    <t xml:space="preserve">European rail </t>
  </si>
  <si>
    <t>European rail</t>
  </si>
  <si>
    <t>This calculator requires a full year of energy consumption data. If this is not aailable, I recommend using the Act On CO2 calculator.</t>
  </si>
  <si>
    <t>What age is your home?</t>
  </si>
  <si>
    <t>useful ready reckenor?</t>
  </si>
  <si>
    <t xml:space="preserve">How much of the following types of fuel have you used in your house over the last 12 months?  </t>
  </si>
  <si>
    <t>Total</t>
  </si>
  <si>
    <t>Do you have any of the following renewable energy generation at home?</t>
  </si>
  <si>
    <t>Solar thermal (hot water)</t>
  </si>
  <si>
    <t>A. Energy use in the home</t>
  </si>
  <si>
    <t>C. Your heating</t>
  </si>
  <si>
    <t>assumptions</t>
  </si>
  <si>
    <t>domestic energy</t>
  </si>
  <si>
    <t>solar hot water will provide 1/3rd of your hot water requirements</t>
  </si>
  <si>
    <t>pledges</t>
  </si>
  <si>
    <t>Results Page Calculations</t>
  </si>
  <si>
    <t>Domestic Energy Calculations</t>
  </si>
  <si>
    <t>Energy Calculations</t>
  </si>
  <si>
    <t>Most done in situ using data entered and conversion factors above.</t>
  </si>
  <si>
    <t>100% renewable electricity</t>
  </si>
  <si>
    <t>KgCO2</t>
  </si>
  <si>
    <t>Are you signed up to a green energy tariff?</t>
  </si>
  <si>
    <t>This section looks at the energy you use to power your home.</t>
  </si>
  <si>
    <t>£10,000 - £19,999</t>
  </si>
  <si>
    <t xml:space="preserve">The following link may be useful for calculating journey distances </t>
  </si>
  <si>
    <t>http://www.travelfootprint.org/journey_emissions</t>
  </si>
  <si>
    <t>£20,000 - £29,999</t>
  </si>
  <si>
    <t>£30,000 - £39,999</t>
  </si>
  <si>
    <t>£40,000 - £49,999</t>
  </si>
  <si>
    <t>£50,000 - £59,999</t>
  </si>
  <si>
    <t>£60,000 - £69,999</t>
  </si>
  <si>
    <t>£70,000 or more</t>
  </si>
  <si>
    <t>No. of household members in vehicle</t>
  </si>
  <si>
    <t xml:space="preserve">for each statement </t>
  </si>
  <si>
    <t>select a score between 0 and 6 where 0 is completely disagree and 6 completely agree</t>
  </si>
  <si>
    <t xml:space="preserve">If you chose £ as your unit for gas or electricity what do you pay per kWh? </t>
  </si>
  <si>
    <r>
      <t>This is used to work out your annual CO</t>
    </r>
    <r>
      <rPr>
        <vertAlign val="subscript"/>
        <sz val="10"/>
        <rFont val="Arial"/>
        <family val="2"/>
      </rPr>
      <t xml:space="preserve">2 </t>
    </r>
    <r>
      <rPr>
        <sz val="10"/>
        <rFont val="Arial"/>
      </rPr>
      <t>emissions</t>
    </r>
    <r>
      <rPr>
        <vertAlign val="subscript"/>
        <sz val="10"/>
        <rFont val="Arial"/>
        <family val="2"/>
      </rPr>
      <t xml:space="preserve"> </t>
    </r>
    <r>
      <rPr>
        <sz val="10"/>
        <rFont val="Arial"/>
      </rPr>
      <t>based on the annual spend entered above..</t>
    </r>
  </si>
  <si>
    <t>For Green Electricity users only:</t>
  </si>
  <si>
    <t xml:space="preserve">The figure above assumes zero emissions from your electricity.  </t>
  </si>
  <si>
    <t>If however, it had been included, your total footprint would be as follows</t>
  </si>
  <si>
    <t>turning thermostat down 1 degree reduced fuel bill by 10%</t>
  </si>
  <si>
    <t>installing solare hote water will reduce water bill by a third</t>
  </si>
  <si>
    <t>you can reduce your heating by a quarter if you insulate an uninsulated roof</t>
  </si>
  <si>
    <t>av 3 bed semi can reduce co2 emissions by 940kg a yr by insulating to 270mm.</t>
  </si>
  <si>
    <t>Insulating walls can decrease heating bills on a arge detached house by £500</t>
  </si>
  <si>
    <t>One third of heat loss is via walls</t>
  </si>
  <si>
    <t>cavity wall insulation can reduce heat loss via walls by 800kg on av for 3 bed semi</t>
  </si>
  <si>
    <t>around 20% heat loss via windows.</t>
  </si>
  <si>
    <t>Energy saving recommended windows can cut av 3 bed semi emissions by 710kg a year</t>
  </si>
  <si>
    <t>under floor insulation in av 3 bed semi 250kg reduction</t>
  </si>
  <si>
    <t xml:space="preserve">draft proffing windows and doors 150kg </t>
  </si>
  <si>
    <t>average household spends 20% of its electricity budget on lighting</t>
  </si>
  <si>
    <t>installing low energy bulbs can reduce energy usedin lighting by 80%</t>
  </si>
  <si>
    <t>in black, from Act on CO2 calculator methodology</t>
  </si>
  <si>
    <t>a 10yr+ old bolier is60% efficient, new condesning boilers are 90% efficient</t>
  </si>
  <si>
    <t>A Real Time display can help you reduce your consumption by 20%</t>
  </si>
  <si>
    <t xml:space="preserve">replacing an old fridge freezer with a Energy Saving Recommended ff (ESR) could take 143kg off </t>
  </si>
  <si>
    <t>replacing an old fridge to an ESR one could save 48g cos</t>
  </si>
  <si>
    <t>chest upright freezer esr 85kg</t>
  </si>
  <si>
    <t xml:space="preserve">esr dishwasher 65kg saving </t>
  </si>
  <si>
    <t>nb dishwasher many be more energy efficient than washing by hand!</t>
  </si>
  <si>
    <t xml:space="preserve">av household runs washing machine 274 a year. </t>
  </si>
  <si>
    <t>40C uses 40% less energy than a 60% wash</t>
  </si>
  <si>
    <t>each tumble drier load emits around 1.8kg co2</t>
  </si>
  <si>
    <t>upgrade to an esr washing machine you could save around 32kg a year</t>
  </si>
  <si>
    <t>25% of car jounreys are less than 2 iles</t>
  </si>
  <si>
    <t>20% domestic elec use - 750kw/yr - 25 bulbs typically 75-80w.</t>
  </si>
  <si>
    <t>in blue How to live a low-carbon lifestyle</t>
  </si>
  <si>
    <t>Intl Energy Agency reports lighting responsible for only 14% of elec consumption (ie we are higher than av for industrialised cos)</t>
  </si>
  <si>
    <t>Footprint for 12 months up to</t>
  </si>
  <si>
    <t>Occupancy Calculator</t>
  </si>
  <si>
    <t>adults</t>
  </si>
  <si>
    <t>children</t>
  </si>
  <si>
    <t>to exclude</t>
  </si>
  <si>
    <t>revised total</t>
  </si>
  <si>
    <t>for DE share</t>
  </si>
  <si>
    <t>Adjusting household footprint to exclude lodgers/houseshare</t>
  </si>
  <si>
    <t>Overall footprint</t>
  </si>
  <si>
    <t>fraction to be included</t>
  </si>
  <si>
    <t>A. Getting started</t>
  </si>
  <si>
    <t xml:space="preserve">      footprint</t>
  </si>
  <si>
    <t>LCWO: Quicksilver Carbon Footprinter Questionnaire</t>
  </si>
  <si>
    <t>Av home uses 3/4 of gas consumption for space heating</t>
  </si>
  <si>
    <t>av home used 1/4 of gas consumption for water heating</t>
  </si>
  <si>
    <t>cavity wall 0.7 tonnes</t>
  </si>
  <si>
    <t>better central heating control 0.3 tonnes</t>
  </si>
  <si>
    <t>CF3 Vehicle Embodied energy look up</t>
  </si>
  <si>
    <t>CF4 Travel</t>
  </si>
  <si>
    <t>reduce by 14.5%</t>
  </si>
  <si>
    <t>install condensing boiler 1.2 tonnes</t>
  </si>
  <si>
    <t>av co2 pp from heating our homes is 1.2 tonnes or 2.7 tonnes per house</t>
  </si>
  <si>
    <t>nb be careful - savings NOT perfectly culmulative</t>
  </si>
  <si>
    <t>carrying out all 4 achieves 40% saving</t>
  </si>
  <si>
    <t>av gas usage 14,000kwh</t>
  </si>
  <si>
    <t>80% of homes on mains gas supply and almost all of those use them for heating. 10% use elec, usually storage heaters</t>
  </si>
  <si>
    <t xml:space="preserve">Av elec heated home is smaller. And uses around 7000kwh a yr. </t>
  </si>
  <si>
    <t>Elec more than 2x more carbon intensive.  Elec more efficient than gas at heating and runs at night when lower co2 elec.</t>
  </si>
  <si>
    <t>cooking uses less than 1000kwh in av home.</t>
  </si>
  <si>
    <t>41% uk have gas ovens, 56% gas hobs. Www.mtprog.com</t>
  </si>
  <si>
    <t>another source, av cookers 650kwh, kettles 150 kwh, microwaves 65kwh p120</t>
  </si>
  <si>
    <t>gas cooking uses 800kwh/yr elec 700kwh/yr  splits hob and oven 50/50</t>
  </si>
  <si>
    <t>av 2.3 occupants per house</t>
  </si>
  <si>
    <t>av domestic energy use for lighting 18.3% cold appliances 16.5% cooking appliances 14% domestic ICT 12.9%, wet appliances 15.3%</t>
  </si>
  <si>
    <t>increase by 3%</t>
  </si>
  <si>
    <t>decrease by 3%</t>
  </si>
  <si>
    <t>cooking appliances 14% (ex elec heating, 4.1% for houses with primary electric heating)</t>
  </si>
  <si>
    <t>uses av household size as 2.34</t>
  </si>
  <si>
    <t>gas hob 69kwh, oven 112   elec hob 146, induction hob 103, oven 112, kettle 170, micro 111 sourced from MPT 2008</t>
  </si>
  <si>
    <t>Solar  (PV) panels</t>
  </si>
  <si>
    <t>total</t>
  </si>
  <si>
    <t>Calculating domestic energy breakdown</t>
  </si>
  <si>
    <t>household occupants</t>
  </si>
  <si>
    <t>factoring in percentage of low energy lightbulbs</t>
  </si>
  <si>
    <t>20% of electricity</t>
  </si>
  <si>
    <t>Social travel</t>
  </si>
  <si>
    <t>Total in your own car</t>
  </si>
  <si>
    <t>4x4</t>
  </si>
  <si>
    <t>kg CO2 Per annum</t>
  </si>
  <si>
    <t>Grand total</t>
  </si>
  <si>
    <t>vehicle ownership</t>
  </si>
  <si>
    <t>(annual share)</t>
  </si>
  <si>
    <t>Embodied energy</t>
  </si>
  <si>
    <t>social travel</t>
  </si>
  <si>
    <t xml:space="preserve">Distance </t>
  </si>
  <si>
    <t>total km</t>
  </si>
  <si>
    <r>
      <t>m</t>
    </r>
    <r>
      <rPr>
        <vertAlign val="superscript"/>
        <sz val="10"/>
        <rFont val="Arial"/>
        <family val="2"/>
      </rPr>
      <t>3</t>
    </r>
  </si>
  <si>
    <t>HCF</t>
  </si>
  <si>
    <t>gas unit conversion</t>
  </si>
  <si>
    <t>unit selected</t>
  </si>
  <si>
    <t>lookup</t>
  </si>
  <si>
    <t>converted to KwH</t>
  </si>
  <si>
    <t>if all lightbulbs changed to low energy can reduce energy consumption by 80% for lighting</t>
  </si>
  <si>
    <t>so if answer to lighting q is</t>
  </si>
  <si>
    <t>date</t>
  </si>
  <si>
    <t>by</t>
  </si>
  <si>
    <t>comment</t>
  </si>
  <si>
    <t>feedback</t>
  </si>
  <si>
    <t>Saski</t>
  </si>
  <si>
    <t>improve QDE Cooking calculation by using fraction of average scale from Act On CO2 instead of linear increse in line with household number</t>
  </si>
  <si>
    <t>Section 3: Your travel</t>
  </si>
  <si>
    <t>Footprint for 12 months up to this date</t>
  </si>
  <si>
    <t xml:space="preserve">You can find this at </t>
  </si>
  <si>
    <t>www.vcacarfueldata.org.uk</t>
  </si>
  <si>
    <t>Around half our food is organic</t>
  </si>
  <si>
    <t>have half food is organic option</t>
  </si>
  <si>
    <t>tony&amp;ruth</t>
  </si>
  <si>
    <t>Route</t>
  </si>
  <si>
    <t>Mode of transport</t>
  </si>
  <si>
    <t>Distance (miles)</t>
  </si>
  <si>
    <t>No. of times journey made in average week.</t>
  </si>
  <si>
    <t>Results table &amp; Domestic Energy Calculations</t>
  </si>
  <si>
    <t>General Conversion Data</t>
  </si>
  <si>
    <t>Results Graph Generator</t>
  </si>
  <si>
    <t>heating</t>
  </si>
  <si>
    <t>food</t>
  </si>
  <si>
    <t>pets</t>
  </si>
  <si>
    <t>spending</t>
  </si>
  <si>
    <t>regular taxi</t>
  </si>
  <si>
    <t>black cab</t>
  </si>
  <si>
    <t>local bus</t>
  </si>
  <si>
    <t>london bus</t>
  </si>
  <si>
    <t>london underground</t>
  </si>
  <si>
    <t>foot passenger ferry</t>
  </si>
  <si>
    <t>car passenger ferry</t>
  </si>
  <si>
    <t>Eurostar</t>
  </si>
  <si>
    <t>km</t>
  </si>
  <si>
    <t>national rail</t>
  </si>
  <si>
    <t>j1</t>
  </si>
  <si>
    <t>j2</t>
  </si>
  <si>
    <t>j3</t>
  </si>
  <si>
    <t>j4</t>
  </si>
  <si>
    <t>j5</t>
  </si>
  <si>
    <t>j6</t>
  </si>
  <si>
    <t>j7</t>
  </si>
  <si>
    <t>carbon contribution (kg)</t>
  </si>
  <si>
    <t>j8</t>
  </si>
  <si>
    <t>each cell is the sum of cell C, D &amp; E from table C in Q travel.</t>
  </si>
  <si>
    <t>j9</t>
  </si>
  <si>
    <t>j10</t>
  </si>
  <si>
    <t>Validation lists</t>
  </si>
  <si>
    <t>select from the following…</t>
  </si>
  <si>
    <t>Act On CO2 includes a 15% real world uplift factor for cars - should we add this?</t>
  </si>
  <si>
    <t>Personal transport CO2 emission factors</t>
  </si>
  <si>
    <t>from Act on CO2 methodology - original source Defra GHG Conversion factors 2008 update</t>
  </si>
  <si>
    <t>Mode</t>
  </si>
  <si>
    <t>Category</t>
  </si>
  <si>
    <t>Size</t>
  </si>
  <si>
    <t>Emmission factor kgCO2/vehichle km</t>
  </si>
  <si>
    <t>Motorcycle</t>
  </si>
  <si>
    <t>Petrol</t>
  </si>
  <si>
    <t>Diesel</t>
  </si>
  <si>
    <t>Petrol hybrid</t>
  </si>
  <si>
    <t>LPG</t>
  </si>
  <si>
    <t>small, up to 1.4l engine</t>
  </si>
  <si>
    <t>medium 1.4-2.0litre engine</t>
  </si>
  <si>
    <t>continue  p40</t>
  </si>
  <si>
    <t>category</t>
  </si>
  <si>
    <t>Domestic - average</t>
  </si>
  <si>
    <t>No. of passengers</t>
  </si>
  <si>
    <t>carbon conribution (kg)</t>
  </si>
  <si>
    <t>Travel Section summary</t>
  </si>
  <si>
    <t>Vehicle 1</t>
  </si>
  <si>
    <t>Vehicle 2</t>
  </si>
  <si>
    <t>Vehicle 3</t>
  </si>
  <si>
    <t>Radiative Forcing</t>
  </si>
  <si>
    <t>transport</t>
  </si>
  <si>
    <t xml:space="preserve">to </t>
  </si>
  <si>
    <r>
      <t>kg C0</t>
    </r>
    <r>
      <rPr>
        <vertAlign val="subscript"/>
        <sz val="10"/>
        <rFont val="Arial"/>
        <family val="2"/>
      </rPr>
      <t>2</t>
    </r>
  </si>
  <si>
    <t>multiplier</t>
  </si>
  <si>
    <t>Source:</t>
  </si>
  <si>
    <r>
      <t xml:space="preserve">from </t>
    </r>
    <r>
      <rPr>
        <sz val="10"/>
        <rFont val="Arial"/>
      </rPr>
      <t>passenger km</t>
    </r>
  </si>
  <si>
    <r>
      <t>multiplier passenger km to kg CO</t>
    </r>
    <r>
      <rPr>
        <vertAlign val="subscript"/>
        <sz val="10"/>
        <rFont val="Arial"/>
        <family val="2"/>
      </rPr>
      <t>2</t>
    </r>
  </si>
  <si>
    <t>Total Multiplier</t>
  </si>
  <si>
    <t>Driving</t>
  </si>
  <si>
    <t>Real world uplift</t>
  </si>
  <si>
    <t>vehicle 1</t>
  </si>
  <si>
    <t>vehicle 2</t>
  </si>
  <si>
    <t>vehicle 3</t>
  </si>
  <si>
    <t>Total (tonnes)</t>
  </si>
  <si>
    <t xml:space="preserve">First, please tell us about the journeys you make to and from work in your own vehicles.                                                        </t>
  </si>
  <si>
    <t>Please tell us about any cars, vans or motorcycles that you own.</t>
  </si>
  <si>
    <t>No. of weeks of travel in past 12 months</t>
  </si>
  <si>
    <t>2. For each vehicle please enter the following information:</t>
  </si>
  <si>
    <t>pence per unit</t>
  </si>
  <si>
    <t>Pounds £</t>
  </si>
  <si>
    <t>electricity conversion</t>
  </si>
  <si>
    <t>electric</t>
  </si>
  <si>
    <t xml:space="preserve">look up </t>
  </si>
  <si>
    <t>total (kg)</t>
  </si>
  <si>
    <t>vehicle type</t>
  </si>
  <si>
    <t xml:space="preserve">Table CF4 look up </t>
  </si>
  <si>
    <t>motorbike</t>
  </si>
  <si>
    <t>small car</t>
  </si>
  <si>
    <t>medium car</t>
  </si>
  <si>
    <t>MPV/estate</t>
  </si>
  <si>
    <t>van</t>
  </si>
  <si>
    <t>vehicle</t>
  </si>
  <si>
    <t>Richard</t>
  </si>
  <si>
    <t>drop down for different units</t>
  </si>
  <si>
    <t>State just enter net</t>
  </si>
  <si>
    <t>Adrian Moyes</t>
  </si>
  <si>
    <t>for journeys have drop down to say if single or return</t>
  </si>
  <si>
    <t>conversion factors for european train travel</t>
  </si>
  <si>
    <t>Data protection has not been discussed</t>
  </si>
  <si>
    <t>We grow almost all of our own veg</t>
  </si>
  <si>
    <t>We have a higher than average household income</t>
  </si>
  <si>
    <t xml:space="preserve">We have an average household income  </t>
  </si>
  <si>
    <t>We have a lower than average household income</t>
  </si>
  <si>
    <t>All our food is organic</t>
  </si>
  <si>
    <t>reduce by 11%</t>
  </si>
  <si>
    <t>reduce by 3.5%</t>
  </si>
  <si>
    <t>we rarely eat air freighted goods</t>
  </si>
  <si>
    <t>I want to calculate my annual income based on</t>
  </si>
  <si>
    <t>Calculating annual disposable income</t>
  </si>
  <si>
    <t>net amount</t>
  </si>
  <si>
    <t>annual</t>
  </si>
  <si>
    <t>We saved the following amount</t>
  </si>
  <si>
    <t>Ü</t>
  </si>
  <si>
    <t>Under £10,000</t>
  </si>
  <si>
    <t>Select from the following…</t>
  </si>
  <si>
    <t>My household's annual income (net of taxes and pensions) is in the following range:</t>
  </si>
  <si>
    <t>Selected</t>
  </si>
  <si>
    <t>resulting CO2</t>
  </si>
  <si>
    <t xml:space="preserve">Estimated </t>
  </si>
  <si>
    <t>Commuting by car</t>
  </si>
  <si>
    <t>Commuting by public transport</t>
  </si>
  <si>
    <t>Domestic travel by car</t>
  </si>
  <si>
    <t>Domestic travel by public transport</t>
  </si>
  <si>
    <t>1. How many motor vehicles are used by your household?</t>
  </si>
  <si>
    <t>Commuting - own vehicle</t>
  </si>
  <si>
    <t>journey 1</t>
  </si>
  <si>
    <t>journey 2</t>
  </si>
  <si>
    <t>journey 3</t>
  </si>
  <si>
    <t>B. Commuting</t>
  </si>
  <si>
    <t>1. Using your own vehicles</t>
  </si>
  <si>
    <t>3. Commuting using public transport</t>
  </si>
  <si>
    <t>B. Pets</t>
  </si>
  <si>
    <t>Radiative forcing</t>
  </si>
  <si>
    <t>We estimate your household's carbon                       emissions relating to your lifestyle                                  to be as follows:</t>
  </si>
  <si>
    <t>Personal transport emission factors</t>
  </si>
  <si>
    <t>Large car above 2l petrol engine</t>
  </si>
  <si>
    <t>Small car up to 1.7l diesel engine</t>
  </si>
  <si>
    <t>Medium petrol hybrid car</t>
  </si>
  <si>
    <t>Large petrol hybrid car</t>
  </si>
  <si>
    <t>Medium LPG car</t>
  </si>
  <si>
    <t>Large LPG car</t>
  </si>
  <si>
    <t>Quicksilver Carbon Calculator</t>
  </si>
  <si>
    <t>Additional residents (to be excluded)</t>
  </si>
  <si>
    <t>Overall household footprint includes all emissions relating to domestic energy, travel and lifestyle activity recorded. Your personal footprint is calculated by dividing the household footprint by the number of people in your household.  If you have indicated there are residents you wish to exclude from the footprint, their share of domestic energy emissions is netted off before your personal footprint is calculated.</t>
  </si>
  <si>
    <t>C. About your home</t>
  </si>
  <si>
    <t>Restricted permission granted.</t>
  </si>
  <si>
    <t xml:space="preserve">Full permission granted. </t>
  </si>
  <si>
    <t>Additional residents to be excluded from your footprint</t>
  </si>
  <si>
    <t>Your energy suppliers can supply you with this information.</t>
  </si>
  <si>
    <t>lighting and appliances</t>
  </si>
  <si>
    <t>2. Lifts you give people</t>
  </si>
  <si>
    <t>3. Journeys in other cars</t>
  </si>
  <si>
    <t>Journey distances can be found at the following website</t>
  </si>
  <si>
    <t>In this section we add up the impact of any flights members of your household have made in the past 12 months. Exclude flights made solely for work purposes.</t>
  </si>
  <si>
    <t>Most of our food is organic</t>
  </si>
  <si>
    <t>Some of our food is organic</t>
  </si>
  <si>
    <t>D. Flights</t>
  </si>
  <si>
    <t>Calculating non-household share of social journeys in vehicles</t>
  </si>
  <si>
    <t>Table CF1</t>
  </si>
  <si>
    <t>Table CF2</t>
  </si>
  <si>
    <t>Table CF4</t>
  </si>
  <si>
    <t>Table CF5</t>
  </si>
  <si>
    <t>Table Calc 4</t>
  </si>
  <si>
    <t>Table Calc 5</t>
  </si>
  <si>
    <t>Calculating share to apportion to non-household members</t>
  </si>
  <si>
    <t>electricity for heating?</t>
  </si>
  <si>
    <t>Removing electricity for heating</t>
  </si>
  <si>
    <t>remaining electricity for appliances</t>
  </si>
  <si>
    <t>amount for lighting/appliances</t>
  </si>
  <si>
    <t>elec for heating</t>
  </si>
  <si>
    <t>Calculating social journeys by public transport</t>
  </si>
  <si>
    <t>Table Calc 6</t>
  </si>
  <si>
    <t>Domestic Energy</t>
  </si>
  <si>
    <t>Behavioural Changes</t>
  </si>
  <si>
    <t>Physical changes</t>
  </si>
  <si>
    <t>Life Changes</t>
  </si>
  <si>
    <t>done it</t>
  </si>
  <si>
    <t>conversion table or gas cubic eet etc to kwhr</t>
  </si>
  <si>
    <t>1. Diet</t>
  </si>
  <si>
    <t>A. Food</t>
  </si>
  <si>
    <t>Grow your own</t>
  </si>
  <si>
    <t>We do not grow our own food</t>
  </si>
  <si>
    <t>We grow most of our own veg in the summer</t>
  </si>
  <si>
    <t>We grow some of our own veg in the summer</t>
  </si>
  <si>
    <t>Questionnaire Lifestyle Calculations</t>
  </si>
  <si>
    <t>Total carbs</t>
  </si>
  <si>
    <t>New Total</t>
  </si>
  <si>
    <t>nothing</t>
  </si>
  <si>
    <t>new total</t>
  </si>
  <si>
    <t xml:space="preserve">We do not compost our kitchen waste </t>
  </si>
  <si>
    <t>Food</t>
  </si>
  <si>
    <t>Pets</t>
  </si>
  <si>
    <t xml:space="preserve">Government services </t>
  </si>
  <si>
    <t>We compost some of our kitchen waste</t>
  </si>
  <si>
    <t>biodiesel for vehicles option?</t>
  </si>
  <si>
    <t>Resurgence gives dif embodied co2 based on 14 yr life of car http://www.resurgence.org.uk/</t>
  </si>
  <si>
    <t>enable people to factor in mileage done in their vehicle for work</t>
  </si>
  <si>
    <t>kg C02</t>
  </si>
  <si>
    <t>3. Pets</t>
  </si>
  <si>
    <t>Animal</t>
  </si>
  <si>
    <t>Daily intake KCalories = kg CO2 a year</t>
  </si>
  <si>
    <t>Cat</t>
  </si>
  <si>
    <t>Dog – 10 lb (4.5kg)</t>
  </si>
  <si>
    <t>Dog – 30 lb (13.5kg)</t>
  </si>
  <si>
    <t>All gas, LPG, coal, wood</t>
  </si>
  <si>
    <t>heating home &amp; water</t>
  </si>
  <si>
    <t>all electricity</t>
  </si>
  <si>
    <t>Do you use electricity as your main source of heating?</t>
  </si>
  <si>
    <t>Eat beef or lamb?</t>
  </si>
  <si>
    <t>Diet type</t>
  </si>
  <si>
    <t>Serious meat diet (meat at every meal)</t>
  </si>
  <si>
    <t>Light meat diet (once or less a day)</t>
  </si>
  <si>
    <t>Typical meat diet (once or twice a day)</t>
  </si>
  <si>
    <t>annual figure</t>
  </si>
  <si>
    <t>adjusting for beef/lamb</t>
  </si>
  <si>
    <t>person</t>
  </si>
  <si>
    <t>base</t>
  </si>
  <si>
    <t xml:space="preserve">beef or lamb? </t>
  </si>
  <si>
    <t>adjustment</t>
  </si>
  <si>
    <t>adjusted</t>
  </si>
  <si>
    <t>final base</t>
  </si>
  <si>
    <t>reduce by 7%</t>
  </si>
  <si>
    <t>appliances &amp; lighting</t>
  </si>
  <si>
    <t>Lighting and appliances in your home</t>
  </si>
  <si>
    <t>Dog – 50 lb (23kg)</t>
  </si>
  <si>
    <t>Dog – 70 lb (32kg)</t>
  </si>
  <si>
    <t>Dog – 90 lb (41kg)</t>
  </si>
  <si>
    <t xml:space="preserve">Number </t>
  </si>
  <si>
    <t>Type of animal</t>
  </si>
  <si>
    <t>Carbon contribution kg</t>
  </si>
  <si>
    <t>total in kg</t>
  </si>
  <si>
    <t>Car ownership</t>
  </si>
  <si>
    <t>car ownership</t>
  </si>
  <si>
    <t>2 Food sourcing</t>
  </si>
  <si>
    <t>4. Disposable expenditure</t>
  </si>
  <si>
    <t>kgCO2/vehicle mile</t>
  </si>
  <si>
    <t>kg per mile c. factor</t>
  </si>
  <si>
    <t xml:space="preserve">per passenger km </t>
  </si>
  <si>
    <t>Clothing</t>
  </si>
  <si>
    <t>section readjustment</t>
  </si>
  <si>
    <t>Lifestyle readjustment</t>
  </si>
  <si>
    <t>per person</t>
  </si>
  <si>
    <t xml:space="preserve">up to 25% petrol </t>
  </si>
  <si>
    <t>10% petrol bill</t>
  </si>
  <si>
    <t>100kg per head</t>
  </si>
  <si>
    <t>50% water heating bill</t>
  </si>
  <si>
    <t>50% petrol</t>
  </si>
  <si>
    <t>100% commuting bills</t>
  </si>
  <si>
    <t>20% per day at home</t>
  </si>
  <si>
    <t>Pledge and Reward Sheet</t>
  </si>
  <si>
    <t>from</t>
  </si>
  <si>
    <t>to</t>
  </si>
  <si>
    <t>Pledge</t>
  </si>
  <si>
    <t>Target Cost Saving</t>
  </si>
  <si>
    <t>Target CO2 Saving</t>
  </si>
  <si>
    <t>Your Pledge</t>
  </si>
  <si>
    <t>Impact</t>
  </si>
  <si>
    <t>House</t>
  </si>
  <si>
    <t>Switch off at Mains</t>
  </si>
  <si>
    <t>Wash wise</t>
  </si>
  <si>
    <t>No dishwasher</t>
  </si>
  <si>
    <t>No tumble drying</t>
  </si>
  <si>
    <t>Clever Curtains</t>
  </si>
  <si>
    <t>Shower not Bath</t>
  </si>
  <si>
    <t>Travel</t>
  </si>
  <si>
    <t>Pledge not to fly</t>
  </si>
  <si>
    <t>Lifestyle</t>
  </si>
  <si>
    <t>Buy local, cook seasonal</t>
  </si>
  <si>
    <t>reduce, resuse, recycle</t>
  </si>
  <si>
    <t>vegetarian diet</t>
  </si>
  <si>
    <t>Level 2</t>
  </si>
  <si>
    <t>Low energy lighting</t>
  </si>
  <si>
    <t>Radiator panels</t>
  </si>
  <si>
    <t>Draught proofing</t>
  </si>
  <si>
    <t>Hot water tank jacket</t>
  </si>
  <si>
    <t>pipes lagged</t>
  </si>
  <si>
    <t>Switch to renewables supplier</t>
  </si>
  <si>
    <t>Walk/cycle up to 3km</t>
  </si>
  <si>
    <t>green driving</t>
  </si>
  <si>
    <t>Home composting</t>
  </si>
  <si>
    <t>Your target carbon savings</t>
  </si>
  <si>
    <t>no</t>
  </si>
  <si>
    <t>We compost all of our kitchen waste</t>
  </si>
  <si>
    <t>3: Investment Opportunity and 4: Life Change</t>
  </si>
  <si>
    <t>Level 3</t>
  </si>
  <si>
    <t>Cavity Wall Insulation</t>
  </si>
  <si>
    <t>Loft insulation up to 270mm</t>
  </si>
  <si>
    <t>Floor insulation</t>
  </si>
  <si>
    <t>Double glazing</t>
  </si>
  <si>
    <t>condensing boiler</t>
  </si>
  <si>
    <t>Relacing appliances with AAA rated</t>
  </si>
  <si>
    <t>solar hot water</t>
  </si>
  <si>
    <t>wood burning stove</t>
  </si>
  <si>
    <t>Solar PVs</t>
  </si>
  <si>
    <t>Micro-wind</t>
  </si>
  <si>
    <t>Replacement Car</t>
  </si>
  <si>
    <t>Level 4</t>
  </si>
  <si>
    <t>Change job to stop commute</t>
  </si>
  <si>
    <t>Homeworking/working at home</t>
  </si>
  <si>
    <t>Grow your own/have an allotment</t>
  </si>
  <si>
    <t>External/internal solid wall insulation</t>
  </si>
  <si>
    <t>10% electricity bill</t>
  </si>
  <si>
    <t>30% water heating</t>
  </si>
  <si>
    <t>varies per person</t>
  </si>
  <si>
    <t>Gas</t>
  </si>
  <si>
    <t>Electricity</t>
  </si>
  <si>
    <t>Oil</t>
  </si>
  <si>
    <t>Your name</t>
  </si>
  <si>
    <t>Your address</t>
  </si>
  <si>
    <t>Litres</t>
  </si>
  <si>
    <t>Kilos</t>
  </si>
  <si>
    <t>Wood</t>
  </si>
  <si>
    <t>Coal</t>
  </si>
  <si>
    <t>Make</t>
  </si>
  <si>
    <t>Model</t>
  </si>
  <si>
    <t>Energy Type</t>
  </si>
  <si>
    <t>Annual Usage</t>
  </si>
  <si>
    <t>Units</t>
  </si>
  <si>
    <t>KwH</t>
  </si>
  <si>
    <t>Data protection preference</t>
  </si>
  <si>
    <t>No. of children in your household (under 18)</t>
  </si>
  <si>
    <t>If you live in a houseshare or have temporary residents they can be allocated a share of emissions relating to powering your home. If they are resident for only part of the year, you can factor this in by entering the proportion of the time they live with you. eg 0.5 for six months. DO NOT include information relating to these additional residents when completing the lifestyle and travel sections.</t>
  </si>
  <si>
    <t>Heating oil</t>
  </si>
  <si>
    <t>kWh</t>
  </si>
  <si>
    <t>B. Green energy</t>
  </si>
  <si>
    <t>Does your supplier invest in renewable energy beyond the level required by law?</t>
  </si>
  <si>
    <t>Air source heat pump</t>
  </si>
  <si>
    <t>Ground source heat pump</t>
  </si>
  <si>
    <t>Hydropower</t>
  </si>
  <si>
    <t>Wind turbine</t>
  </si>
  <si>
    <t>Biomass heating</t>
  </si>
  <si>
    <t>Section summary:</t>
  </si>
  <si>
    <t xml:space="preserve">None </t>
  </si>
  <si>
    <t>appliances and lighting</t>
  </si>
  <si>
    <t>heating and hot water</t>
  </si>
  <si>
    <t>A.Vehicles that you own</t>
  </si>
  <si>
    <t>Vehicle type</t>
  </si>
  <si>
    <t>No. of months out of the past 12 months you have had this vehicle</t>
  </si>
  <si>
    <t>Total annual mileage for personal use</t>
  </si>
  <si>
    <t>In this section we calculate the impact of your commute to work, calculating the share of your vehicles' emissions relating to commuting as well as any journeys by public transport, lift-sharing or hire cars.</t>
  </si>
  <si>
    <t>Please give details about all your household members' journeys to and from work and school.</t>
  </si>
  <si>
    <t>It's up to you if you want to count a journey as the whole return journey or just a single leg - simply adjust the journey mileage and frequency accordingly. You can use the 'get directions' function on the maps page of www.google.co.uk to calculate distances.</t>
  </si>
  <si>
    <t>NB the calculator assumes only household members are in the vehicle - unless you tell us otherwise. Car-sharing is one way of reducing overall carbon emissions. If you give non-household members a lift, the calculator removes a proportion of those journeys' emissions from your footprint.</t>
  </si>
  <si>
    <t>Carbon contribution (kg)</t>
  </si>
  <si>
    <t>No. of non-household passengers</t>
  </si>
  <si>
    <t>2. Commuting journeys made in other cars, eg lift-shares or hire cars.</t>
  </si>
  <si>
    <t>No. of times journey made in average week</t>
  </si>
  <si>
    <t>Use this section to record all the regular journeys you make to and from work using public transport.</t>
  </si>
  <si>
    <r>
      <t>Tonnes C0</t>
    </r>
    <r>
      <rPr>
        <b/>
        <vertAlign val="subscript"/>
        <sz val="10"/>
        <rFont val="Arial"/>
        <family val="2"/>
      </rPr>
      <t>2</t>
    </r>
  </si>
  <si>
    <t>Commuting total</t>
  </si>
  <si>
    <t>C. Social and domestic travel</t>
  </si>
  <si>
    <t xml:space="preserve">In section B, you've told us about car journeys you've made as part of your commute. The remainding mileage is your social mileage. This includes journeys to see friends and family, travel for domestic purposes such as shopping or ferrying children.   </t>
  </si>
  <si>
    <t>Car-sharing is one way of reducing overall carbon emissions. Use this next section to make a note of regular or significant lifts you have given to anyone who isn't a member of your household during the past 12 months.</t>
  </si>
  <si>
    <t>Please note - you only need to log journeys where you give non-householders a lift.</t>
  </si>
  <si>
    <t>Journeys where you give non-household members a lift</t>
  </si>
  <si>
    <t>Vehicle</t>
  </si>
  <si>
    <t>Carbon contribution to offload (kg)</t>
  </si>
  <si>
    <t>This table estimates your share of carbon emissions relating from lifts you get from other people or in hire cars.</t>
  </si>
  <si>
    <t xml:space="preserve">You may have also clocked up social miles in cars other than those owned by by your household, or by public transport. Please use the tables below to record these journeys.  </t>
  </si>
  <si>
    <t>No. of passengers from your household</t>
  </si>
  <si>
    <t>3. Journeys by public transport for social travel made by members of your household</t>
  </si>
  <si>
    <t>Use this table to record any regular or significant one-off journeys made by members of your household using public transport.</t>
  </si>
  <si>
    <t>Summary of your domestic and social travel</t>
  </si>
  <si>
    <t>www.webflyer.com/travel/mileage_calculator/</t>
  </si>
  <si>
    <t>Category                                      (short haul is under 3700km)</t>
  </si>
  <si>
    <t>No. of journeys made</t>
  </si>
  <si>
    <t>Short haul - economy</t>
  </si>
  <si>
    <t>Short haul - first/business</t>
  </si>
  <si>
    <t>Long haul - economy</t>
  </si>
  <si>
    <t>Long haul - economy+</t>
  </si>
  <si>
    <t>Long haul - first class</t>
  </si>
  <si>
    <r>
      <t>Tonnes CO</t>
    </r>
    <r>
      <rPr>
        <b/>
        <vertAlign val="subscript"/>
        <sz val="10"/>
        <rFont val="Arial"/>
        <family val="2"/>
      </rPr>
      <t>2</t>
    </r>
  </si>
  <si>
    <t>Minus lifts you give</t>
  </si>
  <si>
    <t>Plus lifts you get from others</t>
  </si>
  <si>
    <t>Social travel total</t>
  </si>
  <si>
    <t xml:space="preserve">Flights total </t>
  </si>
  <si>
    <t>Small car, up to 1.4l petrol engine</t>
  </si>
  <si>
    <t>Medium car 1.4-2l petrol engine</t>
  </si>
  <si>
    <t>Medium car 1.7-2l diesel engine</t>
  </si>
  <si>
    <t>Large car above 2l diesel engine</t>
  </si>
  <si>
    <t>National rail</t>
  </si>
  <si>
    <t>Regular taxi</t>
  </si>
  <si>
    <t>Black cab</t>
  </si>
  <si>
    <t>Local bus</t>
  </si>
  <si>
    <t>London bus</t>
  </si>
  <si>
    <t>London underground</t>
  </si>
  <si>
    <t>Foot passenger ferry</t>
  </si>
  <si>
    <t>Car passenger ferry</t>
  </si>
  <si>
    <t>Section 4: Your lifestyle</t>
  </si>
  <si>
    <t>1. Setting your base food emissions</t>
  </si>
  <si>
    <t xml:space="preserve">Using the table below as a guide, enter a figure that best represents the diet of each household member.  You can reduce the amount to reflect different appetites, eg halve for children.  Then select the description relating to beef, lamb and dairy consumption that best matches that person.                </t>
  </si>
  <si>
    <t>Some foods are very carbon intensive, including those from sheep and cattle. Each week we consume an average of 4oz of cheese and 3 pints of milk.</t>
  </si>
  <si>
    <t>Vegetarian/vegan</t>
  </si>
  <si>
    <t>Household member</t>
  </si>
  <si>
    <t>Dairy products</t>
  </si>
  <si>
    <t>Revised total</t>
  </si>
  <si>
    <t xml:space="preserve">2. Food sourcing </t>
  </si>
  <si>
    <t>Fertilizers, food processing and storage, and transport all add to the greenhouse gas emissions relating to our food. How we dispose of food waste also has an impact. This section takes these choices into account. For each of the following categories, pick the statements below that best match your household.</t>
  </si>
  <si>
    <t>We eat ready meals at least once a week</t>
  </si>
  <si>
    <t>We sometimes eat out-of-season food</t>
  </si>
  <si>
    <t>We regularly eat out-of-season food</t>
  </si>
  <si>
    <t>C. Products and services</t>
  </si>
  <si>
    <t>As few people know their household's discretionary spend, we use your household's overall income as a guide to help us estimate your carbon footprint relating to goods and services you buy. First, we need to estimate your household's income after tax and pensions. A simple method is to say if your overall household income was higher or lower than the UK average of £35,500 per household. For a more accurate figure, use this net income calculator.</t>
  </si>
  <si>
    <t>Net income calculator</t>
  </si>
  <si>
    <t>Monthly figures</t>
  </si>
  <si>
    <t>take-home pay after tax, NI, pension schemes</t>
  </si>
  <si>
    <t>and any additional income received, eg benefits</t>
  </si>
  <si>
    <t>Annual total</t>
  </si>
  <si>
    <t>You can also take into account your savings over the 12-month period.</t>
  </si>
  <si>
    <t>We spent this much from old savings, or loans</t>
  </si>
  <si>
    <t xml:space="preserve">Revised total </t>
  </si>
  <si>
    <t>Green spend</t>
  </si>
  <si>
    <t xml:space="preserve">Final revised total </t>
  </si>
  <si>
    <t>Use this figure to answer the next question.</t>
  </si>
  <si>
    <t>Finally, you can exclude money spent supporting environmental charities or green investments.</t>
  </si>
  <si>
    <t>Which of the following statements relating to high and low carbon goods best match your household</t>
  </si>
  <si>
    <t>Electrical goods</t>
  </si>
  <si>
    <t>Adjusted</t>
  </si>
  <si>
    <t>Discretionary spend</t>
  </si>
  <si>
    <t>Section subtotal</t>
  </si>
  <si>
    <t>Carbon footprint for the household of:</t>
  </si>
  <si>
    <t>Your carbon footprint</t>
  </si>
  <si>
    <t>Overall household</t>
  </si>
  <si>
    <t>Your personal footprint</t>
  </si>
  <si>
    <t>Heating your home and water</t>
  </si>
  <si>
    <t>Goods and services</t>
  </si>
  <si>
    <t>Subtotal for your household</t>
  </si>
  <si>
    <t>UK average per person</t>
  </si>
  <si>
    <t xml:space="preserve">source </t>
  </si>
  <si>
    <t>https://www.gov.uk/government/publications/greenhouse-gas-reporting-conversion-factors-2017</t>
  </si>
  <si>
    <t xml:space="preserve">DEFRA Green House Gases Factor 2017 </t>
  </si>
  <si>
    <t>generation plus T&amp;D losses</t>
  </si>
  <si>
    <t>burning oil</t>
  </si>
  <si>
    <t>logs - bioenergy</t>
  </si>
  <si>
    <t>not changed 2017</t>
  </si>
  <si>
    <t>updated 5/12/17 using DEFRA figures</t>
  </si>
  <si>
    <t>2017 updated</t>
  </si>
  <si>
    <t>https://help.eurostar.com/faq/uk-en/question/What-is-the-Co2-emission-factor-per-kilometer-when-using-Eurostar</t>
  </si>
  <si>
    <t>Quicksilver  v4</t>
  </si>
  <si>
    <t>17.12.17</t>
  </si>
  <si>
    <t>(At January 2018 this was the following companies, according to the team behind the Big Switch: Bulb; Bristol Energy; Ecotricity; Good Energy; Octopus Energy; Tonik)</t>
  </si>
  <si>
    <r>
      <t xml:space="preserve">This section looks at the energy you use to get about - for social travel and commuting.                                                                      Please </t>
    </r>
    <r>
      <rPr>
        <b/>
        <sz val="10"/>
        <rFont val="Arial"/>
      </rPr>
      <t>do not</t>
    </r>
    <r>
      <rPr>
        <sz val="10"/>
        <rFont val="Arial"/>
      </rPr>
      <t xml:space="preserve"> include any travel that relates to your work, apart from your commute.</t>
    </r>
  </si>
  <si>
    <r>
      <t>CO</t>
    </r>
    <r>
      <rPr>
        <vertAlign val="subscript"/>
        <sz val="10"/>
        <rFont val="Arial"/>
        <family val="2"/>
      </rPr>
      <t>2</t>
    </r>
    <r>
      <rPr>
        <sz val="10"/>
        <rFont val="Arial"/>
      </rPr>
      <t xml:space="preserve"> emissions per km in grams</t>
    </r>
  </si>
  <si>
    <r>
      <t xml:space="preserve"> CO</t>
    </r>
    <r>
      <rPr>
        <vertAlign val="subscript"/>
        <sz val="10"/>
        <rFont val="Arial"/>
        <family val="2"/>
      </rPr>
      <t>2</t>
    </r>
    <r>
      <rPr>
        <sz val="10"/>
        <rFont val="Arial"/>
      </rPr>
      <t xml:space="preserve"> emissions per km in grams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</si>
</sst>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0" formatCode="0.0"/>
    <numFmt numFmtId="171" formatCode="0.000"/>
    <numFmt numFmtId="172" formatCode="0.0000"/>
    <numFmt numFmtId="178" formatCode="0.00000"/>
    <numFmt numFmtId="183" formatCode="[$-F800]dddd\,\ mmmm\ dd\,\ yyyy"/>
    <numFmt numFmtId="184" formatCode="0.0%"/>
  </numFmts>
  <fonts count="61">
    <font>
      <sz val="10"/>
      <name val="Arial"/>
    </font>
    <font>
      <sz val="10"/>
      <name val="Arial"/>
    </font>
    <font>
      <sz val="8"/>
      <name val="Arial"/>
    </font>
    <font>
      <sz val="10"/>
      <name val="Century Gothic"/>
      <family val="2"/>
    </font>
    <font>
      <b/>
      <sz val="10"/>
      <name val="Century Gothic"/>
      <family val="2"/>
    </font>
    <font>
      <u/>
      <sz val="10"/>
      <color indexed="12"/>
      <name val="Arial"/>
    </font>
    <font>
      <b/>
      <sz val="14"/>
      <name val="Century Gothic"/>
      <family val="2"/>
    </font>
    <font>
      <b/>
      <sz val="12"/>
      <name val="Century Gothic"/>
      <family val="2"/>
    </font>
    <font>
      <b/>
      <sz val="10"/>
      <name val="Arial"/>
    </font>
    <font>
      <b/>
      <sz val="10"/>
      <name val="Arial"/>
    </font>
    <font>
      <sz val="10"/>
      <name val="Arial"/>
    </font>
    <font>
      <b/>
      <sz val="9"/>
      <color indexed="81"/>
      <name val="Tahoma"/>
    </font>
    <font>
      <sz val="10"/>
      <color indexed="12"/>
      <name val="Arial"/>
    </font>
    <font>
      <sz val="10"/>
      <name val="Arial Unicode MS"/>
    </font>
    <font>
      <vertAlign val="subscript"/>
      <sz val="10"/>
      <name val="Arial"/>
      <family val="2"/>
    </font>
    <font>
      <sz val="9"/>
      <color indexed="81"/>
      <name val="Tahoma"/>
    </font>
    <font>
      <b/>
      <sz val="11"/>
      <name val="Arial"/>
      <family val="2"/>
    </font>
    <font>
      <b/>
      <vertAlign val="subscript"/>
      <sz val="10"/>
      <name val="Arial"/>
      <family val="2"/>
    </font>
    <font>
      <sz val="12"/>
      <name val="Times New Roman"/>
      <family val="1"/>
    </font>
    <font>
      <b/>
      <sz val="12"/>
      <name val="Arial"/>
      <family val="2"/>
    </font>
    <font>
      <b/>
      <sz val="20"/>
      <color indexed="10"/>
      <name val="Arial"/>
      <family val="2"/>
    </font>
    <font>
      <sz val="10"/>
      <color indexed="10"/>
      <name val="Arial"/>
    </font>
    <font>
      <sz val="10"/>
      <color indexed="10"/>
      <name val="Arial"/>
    </font>
    <font>
      <b/>
      <sz val="10"/>
      <color indexed="12"/>
      <name val="Arial"/>
      <family val="2"/>
    </font>
    <font>
      <sz val="8"/>
      <name val="Arial"/>
    </font>
    <font>
      <sz val="8"/>
      <color indexed="12"/>
      <name val="Arial"/>
      <family val="2"/>
    </font>
    <font>
      <sz val="10"/>
      <color indexed="12"/>
      <name val="Arial"/>
    </font>
    <font>
      <sz val="12"/>
      <name val="Arial"/>
      <family val="2"/>
    </font>
    <font>
      <b/>
      <sz val="14"/>
      <name val="Arial"/>
      <family val="2"/>
    </font>
    <font>
      <b/>
      <sz val="8"/>
      <name val="Arial"/>
      <family val="2"/>
    </font>
    <font>
      <b/>
      <sz val="8"/>
      <color indexed="12"/>
      <name val="Arial"/>
      <family val="2"/>
    </font>
    <font>
      <b/>
      <sz val="10"/>
      <color indexed="10"/>
      <name val="Arial"/>
      <family val="2"/>
    </font>
    <font>
      <vertAlign val="superscript"/>
      <sz val="10"/>
      <name val="Arial"/>
      <family val="2"/>
    </font>
    <font>
      <sz val="10"/>
      <color indexed="9"/>
      <name val="Arial"/>
      <family val="2"/>
    </font>
    <font>
      <sz val="12"/>
      <color indexed="10"/>
      <name val="Times New Roman"/>
      <family val="1"/>
    </font>
    <font>
      <b/>
      <sz val="18"/>
      <name val="Arial"/>
      <family val="2"/>
    </font>
    <font>
      <sz val="18"/>
      <name val="Arial"/>
      <family val="2"/>
    </font>
    <font>
      <b/>
      <sz val="13"/>
      <name val="Arial"/>
      <family val="2"/>
    </font>
    <font>
      <sz val="13"/>
      <name val="Arial"/>
      <family val="2"/>
    </font>
    <font>
      <b/>
      <sz val="9"/>
      <name val="Arial"/>
      <family val="2"/>
    </font>
    <font>
      <sz val="9"/>
      <name val="Arial"/>
      <family val="2"/>
    </font>
    <font>
      <sz val="9.5"/>
      <name val="Arial"/>
      <family val="2"/>
    </font>
    <font>
      <u/>
      <sz val="9"/>
      <color indexed="12"/>
      <name val="Arial"/>
      <family val="2"/>
    </font>
    <font>
      <u/>
      <sz val="10"/>
      <color indexed="12"/>
      <name val="Arial"/>
    </font>
    <font>
      <sz val="10"/>
      <color indexed="8"/>
      <name val="Arial"/>
      <family val="2"/>
    </font>
    <font>
      <b/>
      <sz val="10"/>
      <color indexed="8"/>
      <name val="Arial"/>
      <family val="2"/>
    </font>
    <font>
      <b/>
      <vertAlign val="subscript"/>
      <sz val="10"/>
      <color indexed="8"/>
      <name val="Arial"/>
      <family val="2"/>
    </font>
    <font>
      <sz val="8.5"/>
      <name val="Arial"/>
      <family val="2"/>
    </font>
    <font>
      <sz val="10"/>
      <color indexed="53"/>
      <name val="Arial"/>
      <family val="2"/>
    </font>
    <font>
      <sz val="7"/>
      <name val="Arial"/>
      <family val="2"/>
    </font>
    <font>
      <sz val="11"/>
      <name val="Arial"/>
      <family val="2"/>
    </font>
    <font>
      <sz val="9"/>
      <color indexed="8"/>
      <name val="Arial"/>
      <family val="2"/>
    </font>
    <font>
      <b/>
      <sz val="9"/>
      <color indexed="8"/>
      <name val="Arial"/>
      <family val="2"/>
    </font>
    <font>
      <b/>
      <sz val="10"/>
      <color indexed="9"/>
      <name val="Arial"/>
      <family val="2"/>
    </font>
    <font>
      <vertAlign val="subscript"/>
      <sz val="11"/>
      <name val="Arial"/>
      <family val="2"/>
    </font>
    <font>
      <b/>
      <vertAlign val="subscript"/>
      <sz val="14"/>
      <name val="Arial"/>
      <family val="2"/>
    </font>
    <font>
      <vertAlign val="subscript"/>
      <sz val="7"/>
      <name val="Arial"/>
      <family val="2"/>
    </font>
    <font>
      <sz val="10"/>
      <name val="Symbol"/>
      <family val="1"/>
    </font>
    <font>
      <u/>
      <sz val="8"/>
      <color indexed="12"/>
      <name val="Arial"/>
    </font>
    <font>
      <sz val="10"/>
      <color rgb="FFFF0000"/>
      <name val="Arial"/>
    </font>
    <font>
      <i/>
      <sz val="10"/>
      <color rgb="FF555555"/>
      <name val="Arial"/>
    </font>
  </fonts>
  <fills count="10">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indexed="50"/>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gray125">
        <fgColor indexed="10"/>
      </patternFill>
    </fill>
    <fill>
      <patternFill patternType="solid">
        <fgColor indexed="9"/>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825">
    <xf numFmtId="0" fontId="0" fillId="0" borderId="0" xfId="0"/>
    <xf numFmtId="0" fontId="3" fillId="0" borderId="0" xfId="0" applyFont="1"/>
    <xf numFmtId="0" fontId="4" fillId="0" borderId="0" xfId="0" applyFont="1"/>
    <xf numFmtId="0" fontId="4" fillId="0" borderId="1" xfId="0" applyFont="1" applyBorder="1"/>
    <xf numFmtId="0" fontId="3" fillId="0" borderId="1" xfId="0" applyFont="1" applyBorder="1"/>
    <xf numFmtId="0" fontId="4" fillId="2" borderId="1" xfId="0" applyFont="1" applyFill="1" applyBorder="1"/>
    <xf numFmtId="0" fontId="4" fillId="0" borderId="2" xfId="0" applyFont="1" applyBorder="1"/>
    <xf numFmtId="0" fontId="3" fillId="0" borderId="3" xfId="0" applyFont="1" applyBorder="1"/>
    <xf numFmtId="0" fontId="3" fillId="0" borderId="4" xfId="0" applyFont="1" applyBorder="1"/>
    <xf numFmtId="0" fontId="4" fillId="3" borderId="1" xfId="0" applyFont="1" applyFill="1" applyBorder="1"/>
    <xf numFmtId="0" fontId="3" fillId="3" borderId="1" xfId="0" applyFont="1" applyFill="1" applyBorder="1"/>
    <xf numFmtId="9" fontId="3" fillId="0" borderId="1" xfId="0" applyNumberFormat="1" applyFont="1" applyBorder="1"/>
    <xf numFmtId="0" fontId="6" fillId="0" borderId="0" xfId="0" applyFont="1"/>
    <xf numFmtId="0" fontId="3" fillId="0" borderId="0" xfId="0" applyFont="1" applyAlignment="1">
      <alignment horizontal="left"/>
    </xf>
    <xf numFmtId="0" fontId="7" fillId="0" borderId="0" xfId="0" applyFont="1"/>
    <xf numFmtId="0" fontId="3" fillId="0" borderId="0" xfId="0" applyFont="1" applyBorder="1"/>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xf>
    <xf numFmtId="2" fontId="0" fillId="0" borderId="0" xfId="0" applyNumberFormat="1"/>
    <xf numFmtId="0" fontId="9" fillId="0" borderId="0" xfId="0" applyFont="1"/>
    <xf numFmtId="0" fontId="4" fillId="4" borderId="1" xfId="0" applyFont="1" applyFill="1" applyBorder="1" applyAlignment="1">
      <alignment horizontal="center" vertical="top" wrapText="1"/>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3" xfId="0" applyFont="1" applyBorder="1" applyAlignment="1">
      <alignment horizontal="center"/>
    </xf>
    <xf numFmtId="0" fontId="4" fillId="0" borderId="0" xfId="0" applyFont="1" applyAlignment="1">
      <alignment horizontal="center"/>
    </xf>
    <xf numFmtId="0" fontId="4" fillId="2" borderId="1" xfId="0" applyFont="1" applyFill="1" applyBorder="1" applyAlignment="1">
      <alignment horizontal="center"/>
    </xf>
    <xf numFmtId="0" fontId="10" fillId="0" borderId="0" xfId="0" applyFont="1"/>
    <xf numFmtId="2" fontId="3" fillId="0" borderId="1" xfId="0" applyNumberFormat="1" applyFont="1" applyBorder="1"/>
    <xf numFmtId="171" fontId="3" fillId="0" borderId="1" xfId="0" applyNumberFormat="1" applyFont="1" applyBorder="1"/>
    <xf numFmtId="171" fontId="0" fillId="0" borderId="1" xfId="0" applyNumberFormat="1" applyBorder="1"/>
    <xf numFmtId="171" fontId="4" fillId="0" borderId="1" xfId="0" applyNumberFormat="1" applyFont="1" applyBorder="1"/>
    <xf numFmtId="0" fontId="4" fillId="0" borderId="0" xfId="0" applyFont="1" applyBorder="1" applyAlignment="1">
      <alignment horizontal="center"/>
    </xf>
    <xf numFmtId="1" fontId="3" fillId="0" borderId="1" xfId="0" applyNumberFormat="1" applyFont="1" applyBorder="1"/>
    <xf numFmtId="1" fontId="3" fillId="3" borderId="1" xfId="0" applyNumberFormat="1" applyFont="1" applyFill="1" applyBorder="1"/>
    <xf numFmtId="1" fontId="3" fillId="0" borderId="3" xfId="0" applyNumberFormat="1" applyFont="1" applyBorder="1"/>
    <xf numFmtId="1" fontId="4" fillId="0" borderId="0" xfId="0" applyNumberFormat="1" applyFont="1" applyAlignment="1">
      <alignment horizontal="right"/>
    </xf>
    <xf numFmtId="1" fontId="3" fillId="0" borderId="0" xfId="0" applyNumberFormat="1" applyFont="1"/>
    <xf numFmtId="1" fontId="4" fillId="2" borderId="1" xfId="0" applyNumberFormat="1" applyFont="1" applyFill="1" applyBorder="1"/>
    <xf numFmtId="171" fontId="4" fillId="0" borderId="0" xfId="0" applyNumberFormat="1" applyFont="1" applyBorder="1"/>
    <xf numFmtId="1" fontId="3" fillId="0" borderId="0" xfId="0" applyNumberFormat="1" applyFont="1" applyAlignment="1">
      <alignment horizontal="right"/>
    </xf>
    <xf numFmtId="0" fontId="0" fillId="0" borderId="0" xfId="0" applyAlignment="1">
      <alignment wrapText="1"/>
    </xf>
    <xf numFmtId="171" fontId="0" fillId="0" borderId="0" xfId="0" applyNumberFormat="1"/>
    <xf numFmtId="0" fontId="0" fillId="0" borderId="0" xfId="0" applyAlignment="1">
      <alignment horizontal="center" wrapText="1"/>
    </xf>
    <xf numFmtId="171" fontId="0" fillId="0" borderId="5" xfId="0" applyNumberFormat="1" applyBorder="1"/>
    <xf numFmtId="2" fontId="4" fillId="0" borderId="1" xfId="0" applyNumberFormat="1" applyFont="1" applyBorder="1"/>
    <xf numFmtId="0" fontId="3" fillId="0" borderId="0" xfId="0" applyFont="1" applyFill="1" applyBorder="1"/>
    <xf numFmtId="2" fontId="4" fillId="0" borderId="0" xfId="0" applyNumberFormat="1" applyFont="1" applyBorder="1"/>
    <xf numFmtId="0" fontId="0" fillId="0" borderId="0" xfId="0" applyBorder="1"/>
    <xf numFmtId="0" fontId="9" fillId="0" borderId="0" xfId="0" applyFont="1" applyBorder="1"/>
    <xf numFmtId="171" fontId="0" fillId="0" borderId="0" xfId="0" applyNumberFormat="1" applyBorder="1"/>
    <xf numFmtId="0" fontId="0" fillId="0" borderId="0" xfId="0" applyAlignment="1">
      <alignment horizontal="left"/>
    </xf>
    <xf numFmtId="0" fontId="0" fillId="0" borderId="0" xfId="0" applyAlignment="1"/>
    <xf numFmtId="0" fontId="12" fillId="0" borderId="0" xfId="0" applyFont="1"/>
    <xf numFmtId="9" fontId="0" fillId="0" borderId="0" xfId="0" applyNumberFormat="1"/>
    <xf numFmtId="1" fontId="0" fillId="0" borderId="0" xfId="0" applyNumberFormat="1"/>
    <xf numFmtId="1" fontId="0" fillId="0" borderId="1" xfId="0" applyNumberFormat="1" applyBorder="1"/>
    <xf numFmtId="0" fontId="0" fillId="0" borderId="1" xfId="0" applyBorder="1"/>
    <xf numFmtId="0" fontId="3" fillId="0" borderId="1" xfId="0" applyFont="1" applyBorder="1" applyAlignment="1">
      <alignment horizontal="right" indent="1"/>
    </xf>
    <xf numFmtId="2" fontId="9" fillId="0" borderId="1" xfId="0" applyNumberFormat="1" applyFont="1" applyBorder="1" applyAlignment="1">
      <alignment horizontal="center"/>
    </xf>
    <xf numFmtId="0" fontId="0" fillId="0" borderId="6" xfId="0" applyBorder="1"/>
    <xf numFmtId="0" fontId="3" fillId="0" borderId="0" xfId="0" applyFont="1" applyFill="1" applyBorder="1" applyAlignment="1">
      <alignment horizontal="right" indent="1"/>
    </xf>
    <xf numFmtId="0" fontId="4" fillId="0" borderId="0" xfId="0" applyFont="1" applyFill="1" applyBorder="1" applyAlignment="1">
      <alignment horizontal="left" indent="1"/>
    </xf>
    <xf numFmtId="0" fontId="3" fillId="0" borderId="0" xfId="0" applyFont="1" applyFill="1" applyBorder="1" applyAlignment="1">
      <alignment horizontal="left" indent="1"/>
    </xf>
    <xf numFmtId="14" fontId="0" fillId="0" borderId="0" xfId="0" applyNumberFormat="1"/>
    <xf numFmtId="0" fontId="0" fillId="0" borderId="0" xfId="0" applyAlignment="1">
      <alignment vertical="top" wrapText="1"/>
    </xf>
    <xf numFmtId="0" fontId="10" fillId="0" borderId="0" xfId="0" applyFont="1" applyAlignment="1">
      <alignment horizontal="right"/>
    </xf>
    <xf numFmtId="0" fontId="9" fillId="0" borderId="1" xfId="0" applyFont="1" applyBorder="1"/>
    <xf numFmtId="0" fontId="10" fillId="0" borderId="1" xfId="0" applyFont="1" applyBorder="1"/>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9" fillId="0" borderId="1" xfId="0" applyFont="1" applyFill="1" applyBorder="1"/>
    <xf numFmtId="9" fontId="0" fillId="0" borderId="1" xfId="0" applyNumberFormat="1" applyBorder="1"/>
    <xf numFmtId="172" fontId="0" fillId="0" borderId="1" xfId="0" applyNumberFormat="1" applyFill="1" applyBorder="1"/>
    <xf numFmtId="0" fontId="16" fillId="0" borderId="0" xfId="0" applyFont="1"/>
    <xf numFmtId="0" fontId="0" fillId="0" borderId="0" xfId="0" applyAlignment="1">
      <alignment horizontal="left" indent="1"/>
    </xf>
    <xf numFmtId="2" fontId="0" fillId="0" borderId="0" xfId="0" applyNumberFormat="1" applyAlignment="1">
      <alignment horizontal="left" indent="1"/>
    </xf>
    <xf numFmtId="0" fontId="0" fillId="0" borderId="1" xfId="0" applyFill="1" applyBorder="1"/>
    <xf numFmtId="0" fontId="9" fillId="0" borderId="0" xfId="0" applyFont="1" applyAlignment="1">
      <alignment horizontal="right"/>
    </xf>
    <xf numFmtId="0" fontId="9" fillId="0" borderId="0" xfId="0" applyFont="1" applyAlignment="1">
      <alignment horizontal="left"/>
    </xf>
    <xf numFmtId="0" fontId="9" fillId="0" borderId="0" xfId="0" applyFont="1" applyFill="1" applyBorder="1"/>
    <xf numFmtId="0" fontId="10" fillId="0" borderId="0" xfId="0" applyFont="1" applyBorder="1"/>
    <xf numFmtId="172" fontId="0" fillId="0" borderId="0" xfId="0" applyNumberFormat="1" applyBorder="1"/>
    <xf numFmtId="0" fontId="3" fillId="0" borderId="0" xfId="0" applyFont="1" applyAlignment="1"/>
    <xf numFmtId="0" fontId="9" fillId="0" borderId="1" xfId="0" applyFont="1" applyBorder="1" applyAlignment="1">
      <alignment horizontal="right"/>
    </xf>
    <xf numFmtId="0" fontId="3" fillId="0" borderId="1" xfId="0" applyFont="1" applyBorder="1" applyAlignment="1">
      <alignment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Fill="1" applyBorder="1" applyAlignment="1">
      <alignment wrapText="1"/>
    </xf>
    <xf numFmtId="0" fontId="3" fillId="0" borderId="1" xfId="0" applyFont="1" applyBorder="1" applyAlignment="1">
      <alignment vertical="top" wrapText="1"/>
    </xf>
    <xf numFmtId="0" fontId="9" fillId="0" borderId="0" xfId="0" applyFont="1" applyBorder="1" applyAlignment="1">
      <alignment horizontal="right"/>
    </xf>
    <xf numFmtId="0" fontId="9" fillId="0" borderId="0" xfId="0" applyFont="1" applyFill="1" applyBorder="1" applyAlignment="1">
      <alignment horizontal="left"/>
    </xf>
    <xf numFmtId="0" fontId="4" fillId="0" borderId="0" xfId="0" applyFont="1" applyFill="1" applyBorder="1" applyAlignment="1">
      <alignment vertical="top" wrapText="1"/>
    </xf>
    <xf numFmtId="0" fontId="0" fillId="0" borderId="4" xfId="0" applyBorder="1"/>
    <xf numFmtId="0" fontId="10" fillId="0" borderId="0" xfId="0" applyFont="1" applyBorder="1" applyAlignment="1">
      <alignment vertical="top" wrapText="1"/>
    </xf>
    <xf numFmtId="0" fontId="18" fillId="0" borderId="0" xfId="0" applyFont="1" applyBorder="1" applyAlignment="1">
      <alignment vertical="top" wrapText="1"/>
    </xf>
    <xf numFmtId="0" fontId="18" fillId="0" borderId="0" xfId="0" applyFont="1" applyBorder="1" applyAlignment="1">
      <alignment horizontal="right" vertical="top" wrapText="1"/>
    </xf>
    <xf numFmtId="0" fontId="19" fillId="0" borderId="0" xfId="0" applyFont="1"/>
    <xf numFmtId="2" fontId="0" fillId="0" borderId="1" xfId="0" applyNumberFormat="1" applyBorder="1"/>
    <xf numFmtId="10" fontId="0" fillId="0" borderId="1" xfId="0" applyNumberFormat="1" applyBorder="1"/>
    <xf numFmtId="0" fontId="20" fillId="0" borderId="0" xfId="0" applyFont="1" applyAlignment="1">
      <alignment horizontal="left" vertical="top"/>
    </xf>
    <xf numFmtId="0" fontId="21" fillId="0" borderId="0" xfId="0" applyFont="1"/>
    <xf numFmtId="2" fontId="9" fillId="0" borderId="0" xfId="0" applyNumberFormat="1" applyFont="1"/>
    <xf numFmtId="0" fontId="0" fillId="0" borderId="0" xfId="0" applyFill="1" applyBorder="1"/>
    <xf numFmtId="0" fontId="0" fillId="0" borderId="7" xfId="0" applyFill="1" applyBorder="1"/>
    <xf numFmtId="171" fontId="10" fillId="0" borderId="1" xfId="0" applyNumberFormat="1" applyFont="1" applyBorder="1"/>
    <xf numFmtId="0" fontId="22" fillId="0" borderId="0" xfId="0" applyFont="1" applyAlignment="1">
      <alignment horizontal="right"/>
    </xf>
    <xf numFmtId="0" fontId="22" fillId="0" borderId="1" xfId="0" applyFont="1" applyBorder="1"/>
    <xf numFmtId="171" fontId="23" fillId="0" borderId="1" xfId="0" applyNumberFormat="1" applyFont="1" applyBorder="1"/>
    <xf numFmtId="0" fontId="23" fillId="0" borderId="0" xfId="0" applyFont="1"/>
    <xf numFmtId="0" fontId="21" fillId="0" borderId="1" xfId="0" applyFont="1" applyBorder="1"/>
    <xf numFmtId="0" fontId="26" fillId="0" borderId="1" xfId="0" applyFont="1" applyBorder="1"/>
    <xf numFmtId="16" fontId="0" fillId="0" borderId="0" xfId="0" applyNumberFormat="1"/>
    <xf numFmtId="0" fontId="18" fillId="0" borderId="8" xfId="0" applyFont="1" applyBorder="1" applyAlignment="1">
      <alignment vertical="top" wrapText="1"/>
    </xf>
    <xf numFmtId="0" fontId="18" fillId="0" borderId="9" xfId="0" applyFont="1" applyBorder="1" applyAlignment="1">
      <alignment vertical="top" wrapText="1"/>
    </xf>
    <xf numFmtId="0" fontId="27" fillId="0" borderId="0" xfId="0" applyFont="1"/>
    <xf numFmtId="0" fontId="0" fillId="0" borderId="10" xfId="0" applyBorder="1"/>
    <xf numFmtId="0" fontId="26" fillId="0" borderId="10" xfId="0" applyFont="1" applyBorder="1"/>
    <xf numFmtId="0" fontId="10" fillId="0" borderId="11" xfId="0" applyFont="1" applyBorder="1"/>
    <xf numFmtId="0" fontId="9" fillId="0" borderId="12" xfId="0" applyFont="1" applyBorder="1"/>
    <xf numFmtId="0" fontId="9" fillId="0" borderId="13" xfId="0" applyFont="1" applyBorder="1"/>
    <xf numFmtId="0" fontId="24" fillId="0" borderId="6" xfId="0" applyFont="1" applyBorder="1" applyAlignment="1">
      <alignment horizontal="center" vertical="center" wrapText="1"/>
    </xf>
    <xf numFmtId="0" fontId="25" fillId="0" borderId="6" xfId="0" applyFont="1" applyBorder="1" applyAlignment="1">
      <alignment horizontal="center" vertical="center" wrapText="1"/>
    </xf>
    <xf numFmtId="0" fontId="21" fillId="0" borderId="6" xfId="0" applyFont="1" applyBorder="1"/>
    <xf numFmtId="0" fontId="0" fillId="0" borderId="2" xfId="0" applyBorder="1"/>
    <xf numFmtId="0" fontId="0" fillId="0" borderId="14" xfId="0" applyBorder="1"/>
    <xf numFmtId="0" fontId="21" fillId="0" borderId="15" xfId="0" applyFont="1" applyFill="1" applyBorder="1"/>
    <xf numFmtId="0" fontId="0" fillId="0" borderId="16" xfId="0" applyBorder="1"/>
    <xf numFmtId="0" fontId="0" fillId="0" borderId="17" xfId="0" applyBorder="1"/>
    <xf numFmtId="0" fontId="9" fillId="0" borderId="8" xfId="0" applyFont="1" applyBorder="1"/>
    <xf numFmtId="0" fontId="9" fillId="0" borderId="15" xfId="0" applyFont="1" applyBorder="1"/>
    <xf numFmtId="0" fontId="9" fillId="0" borderId="16" xfId="0" applyFont="1" applyBorder="1"/>
    <xf numFmtId="0" fontId="0" fillId="0" borderId="16" xfId="0" applyFill="1" applyBorder="1"/>
    <xf numFmtId="0" fontId="9" fillId="0" borderId="18" xfId="0" applyFont="1" applyBorder="1"/>
    <xf numFmtId="0" fontId="21" fillId="0" borderId="19" xfId="0" applyFont="1" applyBorder="1"/>
    <xf numFmtId="0" fontId="0" fillId="0" borderId="20" xfId="0" applyBorder="1"/>
    <xf numFmtId="0" fontId="0" fillId="0" borderId="21" xfId="0" applyBorder="1"/>
    <xf numFmtId="0" fontId="0" fillId="0" borderId="22" xfId="0" applyBorder="1"/>
    <xf numFmtId="0" fontId="0" fillId="0" borderId="23" xfId="0" applyBorder="1"/>
    <xf numFmtId="0" fontId="10" fillId="0" borderId="18" xfId="0" applyFont="1" applyBorder="1"/>
    <xf numFmtId="0" fontId="0" fillId="0" borderId="19" xfId="0" applyBorder="1"/>
    <xf numFmtId="0" fontId="10" fillId="0" borderId="20" xfId="0" applyFont="1" applyBorder="1"/>
    <xf numFmtId="0" fontId="9" fillId="0" borderId="24" xfId="0" applyFont="1" applyBorder="1"/>
    <xf numFmtId="0" fontId="10" fillId="0" borderId="20" xfId="0" applyFont="1" applyFill="1" applyBorder="1"/>
    <xf numFmtId="0" fontId="10" fillId="0" borderId="25" xfId="0" applyFont="1" applyFill="1" applyBorder="1"/>
    <xf numFmtId="0" fontId="0" fillId="0" borderId="26" xfId="0" applyFill="1" applyBorder="1"/>
    <xf numFmtId="0" fontId="0" fillId="0" borderId="26" xfId="0" applyBorder="1"/>
    <xf numFmtId="0" fontId="0" fillId="0" borderId="27" xfId="0" applyBorder="1"/>
    <xf numFmtId="0" fontId="9" fillId="0" borderId="26" xfId="0" applyFont="1" applyBorder="1"/>
    <xf numFmtId="0" fontId="9" fillId="0" borderId="27" xfId="0" applyFont="1" applyBorder="1"/>
    <xf numFmtId="0" fontId="9" fillId="0" borderId="28" xfId="0" applyFont="1" applyFill="1" applyBorder="1"/>
    <xf numFmtId="0" fontId="24"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8" xfId="0" applyFont="1" applyFill="1" applyBorder="1" applyAlignment="1">
      <alignment horizontal="center"/>
    </xf>
    <xf numFmtId="0" fontId="0" fillId="0" borderId="29" xfId="0" applyBorder="1"/>
    <xf numFmtId="0" fontId="0" fillId="0" borderId="20" xfId="0" applyFill="1" applyBorder="1"/>
    <xf numFmtId="0" fontId="0" fillId="0" borderId="25" xfId="0" applyFill="1" applyBorder="1"/>
    <xf numFmtId="0" fontId="9" fillId="0" borderId="30" xfId="0" applyFont="1" applyBorder="1"/>
    <xf numFmtId="0" fontId="0" fillId="0" borderId="31" xfId="0" applyBorder="1" applyAlignment="1">
      <alignment horizontal="center" wrapText="1"/>
    </xf>
    <xf numFmtId="0" fontId="0" fillId="0" borderId="31" xfId="0" applyBorder="1"/>
    <xf numFmtId="0" fontId="0" fillId="0" borderId="18" xfId="0" applyBorder="1"/>
    <xf numFmtId="0" fontId="0" fillId="0" borderId="32" xfId="0" applyBorder="1"/>
    <xf numFmtId="0" fontId="0" fillId="0" borderId="33" xfId="0" applyBorder="1"/>
    <xf numFmtId="0" fontId="0" fillId="0" borderId="25" xfId="0" applyBorder="1"/>
    <xf numFmtId="0" fontId="0" fillId="0" borderId="34" xfId="0" applyBorder="1"/>
    <xf numFmtId="0" fontId="0" fillId="0" borderId="35" xfId="0" applyBorder="1"/>
    <xf numFmtId="0" fontId="0" fillId="0" borderId="36" xfId="0" applyFill="1" applyBorder="1"/>
    <xf numFmtId="0" fontId="0" fillId="0" borderId="37" xfId="0" applyBorder="1"/>
    <xf numFmtId="0" fontId="0" fillId="0" borderId="8" xfId="0" applyBorder="1"/>
    <xf numFmtId="0" fontId="0" fillId="0" borderId="15" xfId="0" applyBorder="1"/>
    <xf numFmtId="0" fontId="9" fillId="0" borderId="38" xfId="0" applyFont="1" applyBorder="1"/>
    <xf numFmtId="0" fontId="9" fillId="0" borderId="39" xfId="0" applyFont="1" applyBorder="1"/>
    <xf numFmtId="1" fontId="9" fillId="0" borderId="12" xfId="0" applyNumberFormat="1" applyFont="1" applyBorder="1"/>
    <xf numFmtId="1" fontId="9" fillId="0" borderId="13" xfId="0" applyNumberFormat="1" applyFont="1" applyBorder="1"/>
    <xf numFmtId="1" fontId="13" fillId="0" borderId="0" xfId="0" applyNumberFormat="1" applyFont="1" applyBorder="1" applyAlignment="1">
      <alignment horizontal="left"/>
    </xf>
    <xf numFmtId="0" fontId="0" fillId="0" borderId="40" xfId="0" applyBorder="1"/>
    <xf numFmtId="0" fontId="0" fillId="0" borderId="41" xfId="0" applyBorder="1"/>
    <xf numFmtId="1" fontId="9" fillId="0" borderId="11" xfId="0" applyNumberFormat="1" applyFont="1" applyBorder="1"/>
    <xf numFmtId="0" fontId="0" fillId="0" borderId="42" xfId="0" applyBorder="1"/>
    <xf numFmtId="0" fontId="0" fillId="0" borderId="30" xfId="0" applyBorder="1"/>
    <xf numFmtId="0" fontId="0" fillId="0" borderId="43" xfId="0" applyBorder="1"/>
    <xf numFmtId="0" fontId="9" fillId="0" borderId="44" xfId="0" applyFont="1" applyBorder="1"/>
    <xf numFmtId="0" fontId="0" fillId="0" borderId="45" xfId="0" applyBorder="1"/>
    <xf numFmtId="0" fontId="0" fillId="0" borderId="46" xfId="0" applyBorder="1"/>
    <xf numFmtId="0" fontId="0" fillId="0" borderId="47" xfId="0" applyBorder="1"/>
    <xf numFmtId="0" fontId="18" fillId="0" borderId="1" xfId="0" applyFont="1" applyBorder="1" applyAlignment="1">
      <alignment vertical="top" wrapText="1"/>
    </xf>
    <xf numFmtId="0" fontId="10" fillId="0" borderId="1" xfId="0" applyFont="1" applyBorder="1" applyAlignment="1">
      <alignment horizontal="right"/>
    </xf>
    <xf numFmtId="0" fontId="28" fillId="0" borderId="0" xfId="0" applyFont="1"/>
    <xf numFmtId="0" fontId="31" fillId="0" borderId="30" xfId="0" applyFont="1" applyBorder="1"/>
    <xf numFmtId="0" fontId="22" fillId="0" borderId="36" xfId="0" applyFont="1" applyFill="1" applyBorder="1"/>
    <xf numFmtId="0" fontId="26" fillId="0" borderId="6" xfId="0" applyFont="1" applyBorder="1"/>
    <xf numFmtId="0" fontId="31" fillId="0" borderId="11" xfId="0" applyFont="1" applyBorder="1" applyAlignment="1">
      <alignment horizontal="right"/>
    </xf>
    <xf numFmtId="0" fontId="29"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1" fillId="0" borderId="12" xfId="0" applyFont="1" applyBorder="1"/>
    <xf numFmtId="0" fontId="21" fillId="0" borderId="8" xfId="0" applyFont="1" applyFill="1" applyBorder="1"/>
    <xf numFmtId="0" fontId="0" fillId="0" borderId="48" xfId="0" applyBorder="1"/>
    <xf numFmtId="0" fontId="31" fillId="0" borderId="39" xfId="0" applyFont="1" applyBorder="1" applyAlignment="1">
      <alignment horizontal="right"/>
    </xf>
    <xf numFmtId="0" fontId="31" fillId="0" borderId="11" xfId="0" applyFont="1" applyBorder="1"/>
    <xf numFmtId="0" fontId="31" fillId="0" borderId="13" xfId="0" applyFont="1" applyBorder="1"/>
    <xf numFmtId="0" fontId="31" fillId="0" borderId="34" xfId="0" applyFont="1" applyBorder="1" applyAlignment="1">
      <alignment horizontal="center" wrapText="1"/>
    </xf>
    <xf numFmtId="0" fontId="31" fillId="0" borderId="31" xfId="0" applyFont="1" applyBorder="1"/>
    <xf numFmtId="0" fontId="23" fillId="0" borderId="1" xfId="0" applyFont="1" applyBorder="1"/>
    <xf numFmtId="0" fontId="10" fillId="0" borderId="1" xfId="0" applyFont="1" applyBorder="1" applyAlignment="1">
      <alignment vertical="top" wrapText="1"/>
    </xf>
    <xf numFmtId="0" fontId="10" fillId="0" borderId="1" xfId="0" applyFont="1" applyFill="1" applyBorder="1" applyAlignment="1">
      <alignment vertical="top" wrapText="1"/>
    </xf>
    <xf numFmtId="0" fontId="0" fillId="0" borderId="1" xfId="0" applyBorder="1" applyAlignment="1">
      <alignment horizontal="left"/>
    </xf>
    <xf numFmtId="0" fontId="0" fillId="0" borderId="1" xfId="0" applyBorder="1" applyAlignment="1">
      <alignment horizontal="right"/>
    </xf>
    <xf numFmtId="0" fontId="0" fillId="0" borderId="1" xfId="0" applyFill="1" applyBorder="1" applyAlignment="1">
      <alignment horizontal="right"/>
    </xf>
    <xf numFmtId="0" fontId="31" fillId="0" borderId="0" xfId="0" applyFont="1"/>
    <xf numFmtId="0" fontId="1" fillId="0" borderId="0" xfId="0" applyFont="1"/>
    <xf numFmtId="172" fontId="1" fillId="0" borderId="0" xfId="0" applyNumberFormat="1" applyFont="1"/>
    <xf numFmtId="2" fontId="1" fillId="0" borderId="0" xfId="0" applyNumberFormat="1" applyFont="1"/>
    <xf numFmtId="0" fontId="9" fillId="0" borderId="1" xfId="0" applyFont="1" applyBorder="1" applyAlignment="1">
      <alignment horizontal="center"/>
    </xf>
    <xf numFmtId="2" fontId="9" fillId="0" borderId="1" xfId="0" applyNumberFormat="1" applyFont="1" applyBorder="1"/>
    <xf numFmtId="0" fontId="0" fillId="0" borderId="0" xfId="0" applyFill="1" applyBorder="1" applyAlignment="1">
      <alignment horizontal="right"/>
    </xf>
    <xf numFmtId="0" fontId="0" fillId="0" borderId="1" xfId="0" applyBorder="1" applyAlignment="1">
      <alignment wrapText="1"/>
    </xf>
    <xf numFmtId="171" fontId="0" fillId="0" borderId="0" xfId="0" applyNumberFormat="1" applyAlignment="1">
      <alignment wrapText="1"/>
    </xf>
    <xf numFmtId="0" fontId="3" fillId="0" borderId="1" xfId="0" applyFont="1" applyBorder="1" applyAlignment="1">
      <alignment horizontal="left" wrapText="1"/>
    </xf>
    <xf numFmtId="0" fontId="4" fillId="0" borderId="10" xfId="0" applyFont="1" applyBorder="1"/>
    <xf numFmtId="0" fontId="9" fillId="0" borderId="2" xfId="0" applyFont="1" applyBorder="1"/>
    <xf numFmtId="0" fontId="4" fillId="0" borderId="1" xfId="0" applyFont="1" applyBorder="1" applyAlignment="1">
      <alignment horizontal="left"/>
    </xf>
    <xf numFmtId="0" fontId="3" fillId="0" borderId="1" xfId="0" applyFont="1" applyBorder="1" applyAlignment="1">
      <alignment horizontal="left"/>
    </xf>
    <xf numFmtId="0" fontId="0" fillId="0" borderId="0" xfId="0" applyAlignment="1">
      <alignment horizontal="right"/>
    </xf>
    <xf numFmtId="171" fontId="18" fillId="0" borderId="0" xfId="0" applyNumberFormat="1" applyFont="1" applyBorder="1" applyAlignment="1">
      <alignment vertical="top" wrapText="1"/>
    </xf>
    <xf numFmtId="9" fontId="10" fillId="0" borderId="1" xfId="0" applyNumberFormat="1" applyFont="1" applyBorder="1"/>
    <xf numFmtId="184" fontId="10" fillId="0" borderId="1" xfId="0" applyNumberFormat="1" applyFont="1" applyBorder="1"/>
    <xf numFmtId="10" fontId="10" fillId="0" borderId="1" xfId="0" applyNumberFormat="1" applyFont="1" applyBorder="1"/>
    <xf numFmtId="0" fontId="0" fillId="0" borderId="1" xfId="0" applyNumberFormat="1" applyBorder="1"/>
    <xf numFmtId="0" fontId="0" fillId="0" borderId="5" xfId="0" applyNumberFormat="1" applyFill="1" applyBorder="1"/>
    <xf numFmtId="0" fontId="0" fillId="0" borderId="3" xfId="0" applyBorder="1"/>
    <xf numFmtId="0" fontId="34" fillId="0" borderId="0" xfId="0" applyFont="1" applyBorder="1" applyAlignment="1">
      <alignment vertical="top" wrapText="1"/>
    </xf>
    <xf numFmtId="10" fontId="18" fillId="0" borderId="1" xfId="0" applyNumberFormat="1" applyFont="1" applyBorder="1" applyAlignment="1">
      <alignment vertical="top" wrapText="1"/>
    </xf>
    <xf numFmtId="9" fontId="18" fillId="0" borderId="1" xfId="0" applyNumberFormat="1" applyFont="1" applyBorder="1" applyAlignment="1">
      <alignment vertical="top" wrapText="1"/>
    </xf>
    <xf numFmtId="10" fontId="18" fillId="0" borderId="0" xfId="0" applyNumberFormat="1" applyFont="1" applyBorder="1" applyAlignment="1">
      <alignment vertical="top" wrapText="1"/>
    </xf>
    <xf numFmtId="0" fontId="3" fillId="0" borderId="0" xfId="0" applyFont="1" applyBorder="1" applyAlignment="1">
      <alignment vertical="top" wrapText="1"/>
    </xf>
    <xf numFmtId="0" fontId="0" fillId="0" borderId="1" xfId="0" applyBorder="1" applyAlignment="1">
      <alignment vertical="top"/>
    </xf>
    <xf numFmtId="0" fontId="10" fillId="0" borderId="0" xfId="0" applyFont="1" applyProtection="1">
      <protection locked="0"/>
    </xf>
    <xf numFmtId="0" fontId="22" fillId="0" borderId="0" xfId="0" applyFont="1" applyProtection="1">
      <protection locked="0"/>
    </xf>
    <xf numFmtId="0" fontId="33" fillId="0" borderId="0" xfId="0" applyFont="1" applyProtection="1">
      <protection locked="0"/>
    </xf>
    <xf numFmtId="0" fontId="28" fillId="0" borderId="0" xfId="0" applyFont="1" applyAlignment="1" applyProtection="1">
      <alignment horizontal="left"/>
      <protection locked="0"/>
    </xf>
    <xf numFmtId="0" fontId="10" fillId="0" borderId="0" xfId="0" applyFont="1" applyAlignment="1" applyProtection="1">
      <alignment horizontal="left"/>
      <protection locked="0"/>
    </xf>
    <xf numFmtId="0" fontId="10" fillId="0" borderId="0" xfId="0" applyFont="1" applyAlignment="1" applyProtection="1">
      <alignment horizontal="left" vertical="top" wrapText="1"/>
      <protection locked="0"/>
    </xf>
    <xf numFmtId="0" fontId="10" fillId="0" borderId="0" xfId="0" applyFont="1" applyAlignment="1" applyProtection="1">
      <alignment horizontal="left" vertical="top"/>
      <protection locked="0"/>
    </xf>
    <xf numFmtId="0" fontId="10" fillId="0" borderId="0" xfId="0" applyFont="1" applyAlignment="1" applyProtection="1">
      <alignment vertical="top"/>
      <protection locked="0"/>
    </xf>
    <xf numFmtId="0" fontId="22" fillId="0" borderId="0" xfId="0" applyFont="1" applyAlignment="1" applyProtection="1">
      <alignment vertical="top"/>
      <protection locked="0"/>
    </xf>
    <xf numFmtId="0" fontId="33" fillId="0" borderId="0" xfId="0" applyFont="1" applyAlignment="1" applyProtection="1">
      <alignment vertical="top"/>
      <protection locked="0"/>
    </xf>
    <xf numFmtId="0" fontId="37" fillId="0" borderId="0" xfId="0" applyFont="1" applyProtection="1">
      <protection locked="0"/>
    </xf>
    <xf numFmtId="0" fontId="10" fillId="0" borderId="0" xfId="0" applyFont="1" applyAlignment="1" applyProtection="1">
      <alignment vertical="top" wrapText="1"/>
      <protection locked="0"/>
    </xf>
    <xf numFmtId="0" fontId="9" fillId="0" borderId="0" xfId="0" applyFont="1" applyProtection="1">
      <protection locked="0"/>
    </xf>
    <xf numFmtId="0" fontId="10" fillId="5" borderId="8" xfId="0" applyFont="1" applyFill="1" applyBorder="1" applyAlignment="1" applyProtection="1">
      <alignment horizontal="center"/>
      <protection locked="0"/>
    </xf>
    <xf numFmtId="0" fontId="9" fillId="0" borderId="49" xfId="0" applyFont="1" applyBorder="1" applyAlignment="1" applyProtection="1">
      <protection locked="0"/>
    </xf>
    <xf numFmtId="0" fontId="10" fillId="0" borderId="49" xfId="0" applyFont="1" applyBorder="1" applyAlignment="1" applyProtection="1">
      <protection locked="0"/>
    </xf>
    <xf numFmtId="0" fontId="10" fillId="0" borderId="50" xfId="0" applyFont="1" applyBorder="1" applyAlignment="1" applyProtection="1">
      <alignment horizontal="right" indent="1"/>
      <protection locked="0"/>
    </xf>
    <xf numFmtId="0" fontId="24" fillId="6" borderId="8" xfId="0" applyFont="1" applyFill="1" applyBorder="1" applyAlignment="1" applyProtection="1">
      <alignment horizontal="center"/>
      <protection locked="0"/>
    </xf>
    <xf numFmtId="0" fontId="10" fillId="0" borderId="3" xfId="0" applyFont="1" applyBorder="1" applyAlignment="1" applyProtection="1">
      <alignment horizontal="right" indent="1"/>
      <protection locked="0"/>
    </xf>
    <xf numFmtId="0" fontId="10" fillId="0" borderId="51" xfId="0" applyFont="1" applyBorder="1" applyAlignment="1" applyProtection="1">
      <alignment horizontal="right" indent="1"/>
      <protection locked="0"/>
    </xf>
    <xf numFmtId="0" fontId="40" fillId="0" borderId="40" xfId="0" applyFont="1" applyBorder="1" applyAlignment="1" applyProtection="1">
      <alignment horizontal="right"/>
      <protection locked="0"/>
    </xf>
    <xf numFmtId="0" fontId="42" fillId="0" borderId="3" xfId="1" applyFont="1" applyBorder="1" applyAlignment="1" applyProtection="1">
      <alignment horizontal="right" indent="1"/>
      <protection locked="0"/>
    </xf>
    <xf numFmtId="0" fontId="40" fillId="5" borderId="8" xfId="0" applyFont="1" applyFill="1" applyBorder="1" applyAlignment="1" applyProtection="1">
      <alignment horizontal="center"/>
      <protection locked="0"/>
    </xf>
    <xf numFmtId="0" fontId="10" fillId="6" borderId="8" xfId="0" applyFont="1" applyFill="1" applyBorder="1" applyAlignment="1" applyProtection="1">
      <alignment horizontal="center"/>
      <protection locked="0"/>
    </xf>
    <xf numFmtId="0" fontId="43" fillId="0" borderId="0" xfId="1" applyFont="1" applyBorder="1" applyAlignment="1" applyProtection="1">
      <alignment horizontal="center" vertical="top"/>
      <protection locked="0"/>
    </xf>
    <xf numFmtId="0" fontId="22" fillId="0" borderId="0" xfId="0" applyFont="1" applyAlignment="1" applyProtection="1">
      <alignment horizontal="center" vertical="top"/>
      <protection locked="0"/>
    </xf>
    <xf numFmtId="0" fontId="40" fillId="0" borderId="40" xfId="0" applyFont="1" applyBorder="1" applyAlignment="1" applyProtection="1">
      <alignment horizontal="right" indent="1"/>
      <protection locked="0"/>
    </xf>
    <xf numFmtId="0" fontId="10" fillId="0" borderId="52" xfId="0" applyFont="1" applyBorder="1" applyAlignment="1" applyProtection="1">
      <alignment horizontal="right" indent="1"/>
      <protection locked="0"/>
    </xf>
    <xf numFmtId="0" fontId="10" fillId="0" borderId="0" xfId="0" applyFont="1" applyBorder="1" applyAlignment="1" applyProtection="1">
      <alignment horizontal="right" vertical="top" indent="1"/>
      <protection locked="0"/>
    </xf>
    <xf numFmtId="0" fontId="10" fillId="0" borderId="0" xfId="0" applyFont="1" applyBorder="1" applyAlignment="1" applyProtection="1">
      <alignment horizontal="right" indent="1"/>
      <protection locked="0"/>
    </xf>
    <xf numFmtId="0" fontId="9" fillId="0" borderId="0" xfId="0" applyFont="1" applyFill="1" applyBorder="1" applyAlignment="1" applyProtection="1">
      <alignment horizontal="center"/>
      <protection locked="0"/>
    </xf>
    <xf numFmtId="2" fontId="9" fillId="0" borderId="0" xfId="0" applyNumberFormat="1" applyFont="1" applyBorder="1" applyAlignment="1" applyProtection="1">
      <alignment horizontal="center"/>
      <protection locked="0"/>
    </xf>
    <xf numFmtId="0" fontId="9" fillId="0" borderId="0" xfId="0" applyFont="1" applyAlignment="1" applyProtection="1">
      <protection locked="0"/>
    </xf>
    <xf numFmtId="0" fontId="10" fillId="0" borderId="0" xfId="0" applyFont="1" applyAlignment="1" applyProtection="1">
      <alignment horizontal="right" indent="1"/>
      <protection locked="0"/>
    </xf>
    <xf numFmtId="0" fontId="10" fillId="0" borderId="0" xfId="0" applyFont="1" applyAlignment="1" applyProtection="1">
      <protection locked="0"/>
    </xf>
    <xf numFmtId="0" fontId="22" fillId="0" borderId="0" xfId="0" applyFont="1" applyAlignment="1" applyProtection="1">
      <protection locked="0"/>
    </xf>
    <xf numFmtId="0" fontId="9" fillId="0" borderId="0" xfId="0" applyFont="1" applyBorder="1" applyAlignment="1" applyProtection="1">
      <alignment horizontal="right" indent="1"/>
      <protection locked="0"/>
    </xf>
    <xf numFmtId="0" fontId="10" fillId="0" borderId="0" xfId="0" applyFont="1" applyAlignment="1" applyProtection="1">
      <alignment horizontal="left" wrapText="1" indent="1"/>
      <protection locked="0"/>
    </xf>
    <xf numFmtId="0" fontId="10" fillId="0" borderId="0" xfId="0" applyFont="1" applyAlignment="1" applyProtection="1">
      <alignment horizontal="left" indent="1"/>
      <protection locked="0"/>
    </xf>
    <xf numFmtId="0" fontId="9" fillId="0" borderId="0" xfId="0" applyFont="1" applyAlignment="1" applyProtection="1">
      <alignment horizontal="left" indent="1"/>
      <protection locked="0"/>
    </xf>
    <xf numFmtId="0" fontId="10" fillId="0" borderId="0" xfId="0" applyFont="1" applyBorder="1" applyAlignment="1" applyProtection="1">
      <alignment horizontal="left" vertical="center" wrapText="1" indent="1"/>
      <protection locked="0"/>
    </xf>
    <xf numFmtId="0" fontId="10" fillId="0" borderId="0" xfId="0" applyFont="1" applyBorder="1" applyAlignment="1" applyProtection="1">
      <alignment vertical="center" wrapText="1"/>
      <protection locked="0"/>
    </xf>
    <xf numFmtId="0" fontId="9" fillId="0" borderId="30"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4" xfId="0" applyFont="1" applyBorder="1" applyAlignment="1" applyProtection="1">
      <alignment horizontal="center" vertical="center" wrapText="1"/>
      <protection locked="0"/>
    </xf>
    <xf numFmtId="0" fontId="24" fillId="0" borderId="43"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39" fillId="6" borderId="32" xfId="0" applyFont="1" applyFill="1" applyBorder="1" applyAlignment="1" applyProtection="1">
      <alignment horizontal="center"/>
      <protection locked="0"/>
    </xf>
    <xf numFmtId="0" fontId="40" fillId="5" borderId="29" xfId="0" applyFont="1" applyFill="1" applyBorder="1" applyAlignment="1" applyProtection="1">
      <protection locked="0"/>
    </xf>
    <xf numFmtId="0" fontId="10" fillId="6" borderId="29" xfId="0" applyFont="1" applyFill="1" applyBorder="1" applyAlignment="1" applyProtection="1">
      <alignment horizontal="right" indent="1"/>
      <protection locked="0"/>
    </xf>
    <xf numFmtId="0" fontId="10" fillId="6" borderId="35" xfId="0" applyFont="1" applyFill="1" applyBorder="1" applyAlignment="1" applyProtection="1">
      <alignment horizontal="right" indent="1"/>
      <protection locked="0"/>
    </xf>
    <xf numFmtId="0" fontId="10" fillId="6" borderId="33" xfId="0" applyFont="1" applyFill="1" applyBorder="1" applyAlignment="1" applyProtection="1">
      <alignment horizontal="right" indent="1"/>
      <protection locked="0"/>
    </xf>
    <xf numFmtId="0" fontId="39" fillId="6" borderId="18" xfId="0" applyFont="1" applyFill="1" applyBorder="1" applyAlignment="1" applyProtection="1">
      <alignment horizontal="center"/>
      <protection locked="0"/>
    </xf>
    <xf numFmtId="0" fontId="40" fillId="5" borderId="6" xfId="0" applyFont="1" applyFill="1" applyBorder="1" applyAlignment="1" applyProtection="1">
      <protection locked="0"/>
    </xf>
    <xf numFmtId="0" fontId="10" fillId="6" borderId="6" xfId="0" applyFont="1" applyFill="1" applyBorder="1" applyAlignment="1" applyProtection="1">
      <alignment horizontal="right" indent="1"/>
      <protection locked="0"/>
    </xf>
    <xf numFmtId="0" fontId="10" fillId="6" borderId="2" xfId="0" applyFont="1" applyFill="1" applyBorder="1" applyAlignment="1" applyProtection="1">
      <alignment horizontal="right" indent="1"/>
      <protection locked="0"/>
    </xf>
    <xf numFmtId="0" fontId="10" fillId="6" borderId="14" xfId="0" applyFont="1" applyFill="1" applyBorder="1" applyAlignment="1" applyProtection="1">
      <alignment horizontal="right" indent="1"/>
      <protection locked="0"/>
    </xf>
    <xf numFmtId="0" fontId="10" fillId="6" borderId="19" xfId="0" applyFont="1" applyFill="1" applyBorder="1" applyAlignment="1" applyProtection="1">
      <alignment horizontal="right" indent="1"/>
      <protection locked="0"/>
    </xf>
    <xf numFmtId="0" fontId="39" fillId="6" borderId="25" xfId="0" applyFont="1" applyFill="1" applyBorder="1" applyAlignment="1" applyProtection="1">
      <alignment horizontal="center"/>
      <protection locked="0"/>
    </xf>
    <xf numFmtId="0" fontId="9" fillId="0" borderId="0" xfId="0" applyFont="1" applyAlignment="1" applyProtection="1">
      <alignment horizontal="right"/>
      <protection locked="0"/>
    </xf>
    <xf numFmtId="2" fontId="9" fillId="0" borderId="0" xfId="0" applyNumberFormat="1" applyFont="1" applyBorder="1" applyAlignment="1" applyProtection="1">
      <alignment horizontal="right" indent="1"/>
      <protection locked="0"/>
    </xf>
    <xf numFmtId="0" fontId="9" fillId="0" borderId="34"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4" fillId="0" borderId="53" xfId="0" applyFont="1" applyBorder="1" applyAlignment="1" applyProtection="1">
      <alignment horizontal="center" vertical="center" wrapText="1"/>
      <protection locked="0"/>
    </xf>
    <xf numFmtId="0" fontId="24" fillId="5" borderId="35" xfId="0" applyFont="1" applyFill="1" applyBorder="1" applyAlignment="1" applyProtection="1">
      <protection locked="0"/>
    </xf>
    <xf numFmtId="0" fontId="10" fillId="6" borderId="54" xfId="0" applyFont="1" applyFill="1" applyBorder="1" applyAlignment="1" applyProtection="1">
      <alignment horizontal="right" indent="1"/>
      <protection locked="0"/>
    </xf>
    <xf numFmtId="0" fontId="22" fillId="0" borderId="0" xfId="0" applyFont="1" applyBorder="1" applyProtection="1">
      <protection locked="0"/>
    </xf>
    <xf numFmtId="0" fontId="24" fillId="5" borderId="14" xfId="0" applyFont="1" applyFill="1" applyBorder="1" applyAlignment="1" applyProtection="1">
      <protection locked="0"/>
    </xf>
    <xf numFmtId="0" fontId="10" fillId="6" borderId="40" xfId="0" applyFont="1" applyFill="1" applyBorder="1" applyAlignment="1" applyProtection="1">
      <alignment horizontal="right" indent="1"/>
      <protection locked="0"/>
    </xf>
    <xf numFmtId="0" fontId="10" fillId="6" borderId="1" xfId="0" applyFont="1" applyFill="1" applyBorder="1" applyAlignment="1" applyProtection="1">
      <alignment horizontal="right" indent="1"/>
      <protection locked="0"/>
    </xf>
    <xf numFmtId="0" fontId="10" fillId="6" borderId="21" xfId="0" applyFont="1" applyFill="1" applyBorder="1" applyAlignment="1" applyProtection="1">
      <alignment horizontal="right" indent="1"/>
      <protection locked="0"/>
    </xf>
    <xf numFmtId="0" fontId="10" fillId="6" borderId="20" xfId="0" applyFont="1" applyFill="1" applyBorder="1" applyAlignment="1" applyProtection="1">
      <alignment horizontal="right" indent="1"/>
      <protection locked="0"/>
    </xf>
    <xf numFmtId="0" fontId="10" fillId="6" borderId="4" xfId="0" applyFont="1" applyFill="1" applyBorder="1" applyAlignment="1" applyProtection="1">
      <alignment horizontal="right" indent="1"/>
      <protection locked="0"/>
    </xf>
    <xf numFmtId="0" fontId="24" fillId="5" borderId="38" xfId="0" applyFont="1" applyFill="1" applyBorder="1" applyAlignment="1" applyProtection="1">
      <protection locked="0"/>
    </xf>
    <xf numFmtId="0" fontId="10" fillId="6" borderId="41" xfId="0" applyFont="1" applyFill="1" applyBorder="1" applyAlignment="1" applyProtection="1">
      <alignment horizontal="right" indent="1"/>
      <protection locked="0"/>
    </xf>
    <xf numFmtId="0" fontId="10" fillId="6" borderId="26" xfId="0" applyFont="1" applyFill="1" applyBorder="1" applyAlignment="1" applyProtection="1">
      <alignment horizontal="right" indent="1"/>
      <protection locked="0"/>
    </xf>
    <xf numFmtId="0" fontId="10" fillId="6" borderId="27" xfId="0" applyFont="1" applyFill="1" applyBorder="1" applyAlignment="1" applyProtection="1">
      <alignment horizontal="right" indent="1"/>
      <protection locked="0"/>
    </xf>
    <xf numFmtId="1" fontId="9" fillId="0" borderId="0" xfId="0" applyNumberFormat="1" applyFont="1" applyBorder="1" applyAlignment="1" applyProtection="1">
      <alignment horizontal="right" indent="1"/>
      <protection locked="0"/>
    </xf>
    <xf numFmtId="1" fontId="9" fillId="0" borderId="0" xfId="0" applyNumberFormat="1" applyFont="1" applyBorder="1" applyAlignment="1" applyProtection="1">
      <alignment horizontal="left"/>
      <protection locked="0"/>
    </xf>
    <xf numFmtId="1" fontId="10" fillId="0" borderId="0" xfId="0" applyNumberFormat="1" applyFont="1" applyBorder="1" applyAlignment="1" applyProtection="1">
      <alignment horizontal="left" indent="1"/>
      <protection locked="0"/>
    </xf>
    <xf numFmtId="0" fontId="39" fillId="6" borderId="20" xfId="0" applyFont="1" applyFill="1" applyBorder="1" applyAlignment="1" applyProtection="1">
      <alignment horizontal="center"/>
      <protection locked="0"/>
    </xf>
    <xf numFmtId="0" fontId="40" fillId="5" borderId="1" xfId="0" applyFont="1" applyFill="1" applyBorder="1" applyAlignment="1" applyProtection="1">
      <protection locked="0"/>
    </xf>
    <xf numFmtId="0" fontId="39" fillId="6" borderId="22" xfId="0" applyFont="1" applyFill="1" applyBorder="1" applyAlignment="1" applyProtection="1">
      <alignment horizontal="center"/>
      <protection locked="0"/>
    </xf>
    <xf numFmtId="0" fontId="40" fillId="5" borderId="10" xfId="0" applyFont="1" applyFill="1" applyBorder="1" applyAlignment="1" applyProtection="1">
      <protection locked="0"/>
    </xf>
    <xf numFmtId="0" fontId="10" fillId="6" borderId="10" xfId="0" applyFont="1" applyFill="1" applyBorder="1" applyAlignment="1" applyProtection="1">
      <alignment horizontal="right" indent="1"/>
      <protection locked="0"/>
    </xf>
    <xf numFmtId="0" fontId="10" fillId="6" borderId="55" xfId="0" applyFont="1" applyFill="1" applyBorder="1" applyAlignment="1" applyProtection="1">
      <alignment horizontal="right" indent="1"/>
      <protection locked="0"/>
    </xf>
    <xf numFmtId="0" fontId="9" fillId="0" borderId="56" xfId="0" applyFont="1" applyFill="1" applyBorder="1" applyAlignment="1" applyProtection="1">
      <alignment horizontal="center"/>
      <protection locked="0"/>
    </xf>
    <xf numFmtId="0" fontId="9" fillId="0" borderId="56" xfId="0" applyFont="1" applyFill="1" applyBorder="1" applyAlignment="1" applyProtection="1">
      <protection locked="0"/>
    </xf>
    <xf numFmtId="0" fontId="9" fillId="0" borderId="57" xfId="0" applyFont="1" applyBorder="1" applyAlignment="1" applyProtection="1">
      <alignment horizontal="right"/>
      <protection locked="0"/>
    </xf>
    <xf numFmtId="0" fontId="9" fillId="0" borderId="0" xfId="0" applyFont="1" applyFill="1" applyBorder="1" applyAlignment="1" applyProtection="1">
      <protection locked="0"/>
    </xf>
    <xf numFmtId="0" fontId="9" fillId="0" borderId="0" xfId="0" applyFont="1" applyBorder="1" applyAlignment="1" applyProtection="1">
      <alignment horizontal="right"/>
      <protection locked="0"/>
    </xf>
    <xf numFmtId="0" fontId="9" fillId="0" borderId="0" xfId="0" applyFont="1" applyAlignment="1" applyProtection="1">
      <alignment horizontal="center"/>
      <protection locked="0"/>
    </xf>
    <xf numFmtId="0" fontId="16" fillId="0" borderId="0" xfId="0" applyFont="1" applyFill="1" applyBorder="1" applyAlignment="1" applyProtection="1">
      <alignment horizontal="left" indent="1"/>
      <protection locked="0"/>
    </xf>
    <xf numFmtId="0" fontId="9" fillId="0" borderId="0" xfId="0" applyFont="1" applyFill="1" applyBorder="1" applyAlignment="1" applyProtection="1">
      <alignment horizontal="left"/>
      <protection locked="0"/>
    </xf>
    <xf numFmtId="0" fontId="10" fillId="0" borderId="0" xfId="0" applyFont="1" applyFill="1" applyBorder="1" applyAlignment="1" applyProtection="1">
      <protection locked="0"/>
    </xf>
    <xf numFmtId="0" fontId="10" fillId="0" borderId="0" xfId="0" applyFont="1" applyFill="1" applyBorder="1" applyAlignment="1" applyProtection="1">
      <alignment horizontal="right" indent="1"/>
      <protection locked="0"/>
    </xf>
    <xf numFmtId="2" fontId="10" fillId="0" borderId="0" xfId="0" applyNumberFormat="1" applyFont="1" applyFill="1" applyBorder="1" applyAlignment="1" applyProtection="1">
      <protection locked="0"/>
    </xf>
    <xf numFmtId="0" fontId="9" fillId="0" borderId="0" xfId="0" applyFont="1" applyFill="1" applyBorder="1" applyAlignment="1" applyProtection="1">
      <alignment horizontal="right"/>
      <protection locked="0"/>
    </xf>
    <xf numFmtId="2" fontId="9" fillId="0" borderId="0" xfId="0" applyNumberFormat="1" applyFont="1" applyFill="1" applyBorder="1" applyAlignment="1" applyProtection="1">
      <alignment horizontal="right"/>
      <protection locked="0"/>
    </xf>
    <xf numFmtId="2" fontId="9" fillId="0" borderId="0" xfId="0" applyNumberFormat="1" applyFont="1" applyFill="1" applyBorder="1" applyAlignment="1" applyProtection="1">
      <protection locked="0"/>
    </xf>
    <xf numFmtId="0" fontId="9" fillId="0" borderId="0" xfId="0" applyFont="1" applyFill="1" applyBorder="1" applyAlignment="1" applyProtection="1">
      <alignment horizontal="right" indent="1"/>
      <protection locked="0"/>
    </xf>
    <xf numFmtId="0" fontId="37" fillId="0" borderId="0"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44" fillId="0" borderId="0" xfId="0" applyFont="1" applyProtection="1">
      <protection locked="0"/>
    </xf>
    <xf numFmtId="0" fontId="9" fillId="0" borderId="0" xfId="0" applyFont="1" applyAlignment="1" applyProtection="1">
      <alignment horizontal="right" indent="1"/>
      <protection locked="0"/>
    </xf>
    <xf numFmtId="1" fontId="9" fillId="0" borderId="0" xfId="0" applyNumberFormat="1" applyFont="1" applyFill="1" applyBorder="1" applyAlignment="1" applyProtection="1">
      <protection locked="0"/>
    </xf>
    <xf numFmtId="0" fontId="45" fillId="0" borderId="0" xfId="0" applyFont="1" applyProtection="1">
      <protection locked="0"/>
    </xf>
    <xf numFmtId="0" fontId="40" fillId="5" borderId="44" xfId="0" applyFont="1" applyFill="1" applyBorder="1" applyAlignment="1" applyProtection="1">
      <protection locked="0"/>
    </xf>
    <xf numFmtId="0" fontId="10" fillId="6" borderId="44" xfId="0" applyFont="1" applyFill="1" applyBorder="1" applyAlignment="1" applyProtection="1">
      <alignment horizontal="right" indent="1"/>
      <protection locked="0"/>
    </xf>
    <xf numFmtId="0" fontId="10" fillId="6" borderId="38" xfId="0" applyFont="1" applyFill="1" applyBorder="1" applyAlignment="1" applyProtection="1">
      <alignment horizontal="right" indent="1"/>
      <protection locked="0"/>
    </xf>
    <xf numFmtId="0" fontId="10" fillId="6" borderId="58" xfId="0" applyFont="1" applyFill="1" applyBorder="1" applyAlignment="1" applyProtection="1">
      <alignment horizontal="right" indent="1"/>
      <protection locked="0"/>
    </xf>
    <xf numFmtId="0" fontId="10" fillId="6" borderId="59" xfId="0" applyFont="1" applyFill="1" applyBorder="1" applyAlignment="1" applyProtection="1">
      <alignment horizontal="right" indent="1"/>
      <protection locked="0"/>
    </xf>
    <xf numFmtId="0" fontId="24" fillId="5" borderId="29" xfId="0" applyFont="1" applyFill="1" applyBorder="1" applyAlignment="1" applyProtection="1">
      <protection locked="0"/>
    </xf>
    <xf numFmtId="0" fontId="24" fillId="5" borderId="6" xfId="0" applyFont="1" applyFill="1" applyBorder="1" applyAlignment="1" applyProtection="1">
      <protection locked="0"/>
    </xf>
    <xf numFmtId="0" fontId="24" fillId="5" borderId="26" xfId="0" applyFont="1" applyFill="1" applyBorder="1" applyAlignment="1" applyProtection="1">
      <protection locked="0"/>
    </xf>
    <xf numFmtId="0" fontId="40" fillId="0" borderId="8" xfId="0" applyFont="1" applyBorder="1" applyAlignment="1" applyProtection="1">
      <alignment horizontal="center" vertical="center" wrapText="1"/>
      <protection locked="0"/>
    </xf>
    <xf numFmtId="1" fontId="9" fillId="0" borderId="0" xfId="0" applyNumberFormat="1" applyFont="1" applyFill="1" applyBorder="1" applyAlignment="1" applyProtection="1">
      <alignment horizontal="right" indent="1"/>
      <protection locked="0"/>
    </xf>
    <xf numFmtId="0" fontId="16" fillId="0" borderId="0" xfId="0" applyFont="1" applyFill="1" applyBorder="1" applyAlignment="1" applyProtection="1">
      <protection locked="0"/>
    </xf>
    <xf numFmtId="0" fontId="10" fillId="0" borderId="0" xfId="0" applyFont="1" applyFill="1" applyBorder="1" applyAlignment="1" applyProtection="1">
      <alignment horizontal="right"/>
      <protection locked="0"/>
    </xf>
    <xf numFmtId="0" fontId="9" fillId="0" borderId="0" xfId="0" applyFont="1" applyBorder="1" applyAlignment="1" applyProtection="1">
      <alignment horizontal="center"/>
      <protection locked="0"/>
    </xf>
    <xf numFmtId="0" fontId="43" fillId="0" borderId="0" xfId="1" applyFont="1" applyAlignment="1" applyProtection="1">
      <alignment horizontal="left" indent="1"/>
      <protection locked="0"/>
    </xf>
    <xf numFmtId="0" fontId="24" fillId="0" borderId="31" xfId="0" applyFont="1" applyBorder="1" applyAlignment="1" applyProtection="1">
      <alignment horizontal="center" vertical="top" wrapText="1"/>
      <protection locked="0"/>
    </xf>
    <xf numFmtId="0" fontId="24" fillId="0" borderId="34" xfId="0" applyFont="1" applyBorder="1" applyAlignment="1" applyProtection="1">
      <alignment horizontal="center" vertical="top" wrapText="1"/>
      <protection locked="0"/>
    </xf>
    <xf numFmtId="0" fontId="47" fillId="0" borderId="8" xfId="0" applyFont="1" applyBorder="1" applyAlignment="1" applyProtection="1">
      <alignment horizontal="center" vertical="center" wrapText="1"/>
      <protection locked="0"/>
    </xf>
    <xf numFmtId="0" fontId="10" fillId="0" borderId="0" xfId="0" applyFont="1" applyAlignment="1" applyProtection="1">
      <alignment horizontal="center" wrapText="1"/>
      <protection locked="0"/>
    </xf>
    <xf numFmtId="0" fontId="9" fillId="6" borderId="32" xfId="0" applyFont="1" applyFill="1" applyBorder="1" applyAlignment="1" applyProtection="1">
      <alignment horizontal="center"/>
      <protection locked="0"/>
    </xf>
    <xf numFmtId="0" fontId="10" fillId="5" borderId="29" xfId="0" applyFont="1" applyFill="1" applyBorder="1" applyAlignment="1" applyProtection="1">
      <alignment horizontal="center"/>
      <protection locked="0"/>
    </xf>
    <xf numFmtId="0" fontId="10" fillId="5" borderId="29" xfId="0" applyFont="1" applyFill="1" applyBorder="1" applyAlignment="1" applyProtection="1">
      <alignment horizontal="right" indent="1"/>
      <protection locked="0"/>
    </xf>
    <xf numFmtId="0" fontId="9" fillId="6" borderId="18" xfId="0" applyFont="1" applyFill="1" applyBorder="1" applyAlignment="1" applyProtection="1">
      <alignment horizontal="center"/>
      <protection locked="0"/>
    </xf>
    <xf numFmtId="0" fontId="10" fillId="5" borderId="6" xfId="0" applyFont="1" applyFill="1" applyBorder="1" applyAlignment="1" applyProtection="1">
      <alignment horizontal="center"/>
      <protection locked="0"/>
    </xf>
    <xf numFmtId="0" fontId="10" fillId="5" borderId="1" xfId="0" applyFont="1" applyFill="1" applyBorder="1" applyAlignment="1" applyProtection="1">
      <alignment horizontal="right" indent="1"/>
      <protection locked="0"/>
    </xf>
    <xf numFmtId="0" fontId="9" fillId="6" borderId="20" xfId="0" applyFont="1" applyFill="1" applyBorder="1" applyAlignment="1" applyProtection="1">
      <alignment horizontal="center"/>
      <protection locked="0"/>
    </xf>
    <xf numFmtId="0" fontId="10" fillId="5" borderId="6" xfId="0" applyFont="1" applyFill="1" applyBorder="1" applyAlignment="1" applyProtection="1">
      <alignment horizontal="right" indent="1"/>
      <protection locked="0"/>
    </xf>
    <xf numFmtId="0" fontId="9" fillId="6" borderId="25" xfId="0" applyFont="1" applyFill="1" applyBorder="1" applyAlignment="1" applyProtection="1">
      <alignment horizontal="center"/>
      <protection locked="0"/>
    </xf>
    <xf numFmtId="0" fontId="10" fillId="5" borderId="26" xfId="0" applyFont="1" applyFill="1" applyBorder="1" applyAlignment="1" applyProtection="1">
      <alignment horizontal="center"/>
      <protection locked="0"/>
    </xf>
    <xf numFmtId="0" fontId="10" fillId="6" borderId="60" xfId="0" applyFont="1" applyFill="1" applyBorder="1" applyAlignment="1" applyProtection="1">
      <alignment horizontal="right" indent="1"/>
      <protection locked="0"/>
    </xf>
    <xf numFmtId="0" fontId="28" fillId="0" borderId="0" xfId="0" applyFont="1" applyProtection="1">
      <protection locked="0"/>
    </xf>
    <xf numFmtId="0" fontId="10" fillId="0" borderId="0" xfId="0" applyFont="1" applyAlignment="1" applyProtection="1">
      <alignment horizontal="right"/>
      <protection locked="0"/>
    </xf>
    <xf numFmtId="2" fontId="10" fillId="0" borderId="0" xfId="0" applyNumberFormat="1" applyFont="1" applyProtection="1">
      <protection locked="0"/>
    </xf>
    <xf numFmtId="2" fontId="10" fillId="0" borderId="0" xfId="0" applyNumberFormat="1" applyFont="1" applyAlignment="1" applyProtection="1">
      <alignment horizontal="left" indent="1"/>
      <protection locked="0"/>
    </xf>
    <xf numFmtId="2" fontId="9" fillId="0" borderId="0" xfId="0" applyNumberFormat="1" applyFont="1" applyAlignment="1" applyProtection="1">
      <alignment horizontal="left" indent="1"/>
      <protection locked="0"/>
    </xf>
    <xf numFmtId="0" fontId="16" fillId="0" borderId="0" xfId="0" applyFont="1" applyProtection="1">
      <protection locked="0"/>
    </xf>
    <xf numFmtId="2" fontId="9" fillId="0" borderId="8" xfId="0" applyNumberFormat="1" applyFont="1" applyBorder="1" applyAlignment="1" applyProtection="1">
      <alignment horizontal="center"/>
    </xf>
    <xf numFmtId="2" fontId="10" fillId="0" borderId="37" xfId="0" applyNumberFormat="1" applyFont="1" applyBorder="1" applyAlignment="1" applyProtection="1">
      <alignment horizontal="center"/>
    </xf>
    <xf numFmtId="2" fontId="10" fillId="0" borderId="17" xfId="0" applyNumberFormat="1" applyFont="1" applyBorder="1" applyAlignment="1" applyProtection="1">
      <alignment horizontal="center"/>
    </xf>
    <xf numFmtId="1" fontId="9" fillId="0" borderId="37" xfId="0" applyNumberFormat="1" applyFont="1" applyFill="1" applyBorder="1" applyAlignment="1" applyProtection="1">
      <alignment horizontal="right" indent="1"/>
    </xf>
    <xf numFmtId="1" fontId="9" fillId="0" borderId="15" xfId="0" applyNumberFormat="1" applyFont="1" applyFill="1" applyBorder="1" applyAlignment="1" applyProtection="1">
      <alignment horizontal="right" indent="1"/>
    </xf>
    <xf numFmtId="1" fontId="9" fillId="0" borderId="28" xfId="0" applyNumberFormat="1" applyFont="1" applyFill="1" applyBorder="1" applyAlignment="1" applyProtection="1">
      <alignment horizontal="right" indent="1"/>
    </xf>
    <xf numFmtId="1" fontId="9" fillId="0" borderId="8" xfId="0" applyNumberFormat="1" applyFont="1" applyBorder="1" applyAlignment="1" applyProtection="1">
      <alignment horizontal="right" indent="1"/>
    </xf>
    <xf numFmtId="1" fontId="9" fillId="0" borderId="61" xfId="0" applyNumberFormat="1" applyFont="1" applyFill="1" applyBorder="1" applyAlignment="1" applyProtection="1">
      <alignment horizontal="right" indent="1"/>
    </xf>
    <xf numFmtId="1" fontId="9" fillId="0" borderId="50" xfId="0" applyNumberFormat="1" applyFont="1" applyFill="1" applyBorder="1" applyAlignment="1" applyProtection="1">
      <alignment horizontal="right" indent="1"/>
    </xf>
    <xf numFmtId="1" fontId="9" fillId="0" borderId="62" xfId="0" applyNumberFormat="1" applyFont="1" applyFill="1" applyBorder="1" applyAlignment="1" applyProtection="1">
      <alignment horizontal="right" indent="1"/>
    </xf>
    <xf numFmtId="1" fontId="9" fillId="0" borderId="16" xfId="0" applyNumberFormat="1" applyFont="1" applyFill="1" applyBorder="1" applyAlignment="1" applyProtection="1">
      <alignment horizontal="right" indent="1"/>
    </xf>
    <xf numFmtId="1" fontId="9" fillId="0" borderId="17" xfId="0" applyNumberFormat="1" applyFont="1" applyFill="1" applyBorder="1" applyAlignment="1" applyProtection="1">
      <alignment horizontal="right" indent="1"/>
    </xf>
    <xf numFmtId="1" fontId="9" fillId="0" borderId="8" xfId="0" applyNumberFormat="1" applyFont="1" applyFill="1" applyBorder="1" applyAlignment="1" applyProtection="1">
      <alignment horizontal="right" indent="1"/>
    </xf>
    <xf numFmtId="2" fontId="10" fillId="0" borderId="37" xfId="0" applyNumberFormat="1" applyFont="1" applyFill="1" applyBorder="1" applyAlignment="1" applyProtection="1">
      <alignment horizontal="right" indent="1"/>
    </xf>
    <xf numFmtId="2" fontId="10" fillId="0" borderId="16" xfId="0" applyNumberFormat="1" applyFont="1" applyFill="1" applyBorder="1" applyAlignment="1" applyProtection="1">
      <alignment horizontal="right" indent="1"/>
    </xf>
    <xf numFmtId="2" fontId="10" fillId="0" borderId="28" xfId="0" applyNumberFormat="1" applyFont="1" applyFill="1" applyBorder="1" applyAlignment="1" applyProtection="1">
      <alignment horizontal="right" indent="1"/>
    </xf>
    <xf numFmtId="2" fontId="9" fillId="0" borderId="9" xfId="0" applyNumberFormat="1" applyFont="1" applyFill="1" applyBorder="1" applyAlignment="1" applyProtection="1">
      <alignment horizontal="right" indent="1"/>
    </xf>
    <xf numFmtId="2" fontId="10" fillId="0" borderId="17" xfId="0" applyNumberFormat="1" applyFont="1" applyFill="1" applyBorder="1" applyAlignment="1" applyProtection="1">
      <alignment horizontal="right" indent="1"/>
    </xf>
    <xf numFmtId="2" fontId="9" fillId="0" borderId="8" xfId="0" applyNumberFormat="1" applyFont="1" applyFill="1" applyBorder="1" applyAlignment="1" applyProtection="1">
      <alignment horizontal="right" indent="1"/>
    </xf>
    <xf numFmtId="0" fontId="10" fillId="0" borderId="0" xfId="0" applyFont="1" applyProtection="1"/>
    <xf numFmtId="2" fontId="10" fillId="0" borderId="0" xfId="0" applyNumberFormat="1" applyFont="1" applyProtection="1"/>
    <xf numFmtId="2" fontId="9" fillId="0" borderId="0" xfId="0" applyNumberFormat="1" applyFont="1" applyProtection="1"/>
    <xf numFmtId="0" fontId="10" fillId="0" borderId="0" xfId="0" applyFont="1" applyAlignment="1" applyProtection="1">
      <alignment horizontal="left" indent="1"/>
    </xf>
    <xf numFmtId="2" fontId="10" fillId="0" borderId="0" xfId="0" applyNumberFormat="1" applyFont="1" applyAlignment="1" applyProtection="1">
      <alignment horizontal="left" indent="1"/>
    </xf>
    <xf numFmtId="2" fontId="9" fillId="0" borderId="0" xfId="0" applyNumberFormat="1" applyFont="1" applyAlignment="1" applyProtection="1"/>
    <xf numFmtId="0" fontId="48" fillId="0" borderId="0" xfId="0" applyFont="1" applyAlignment="1" applyProtection="1">
      <alignment horizontal="left"/>
      <protection locked="0"/>
    </xf>
    <xf numFmtId="0" fontId="48" fillId="0" borderId="0" xfId="0" applyFont="1" applyProtection="1">
      <protection locked="0"/>
    </xf>
    <xf numFmtId="0" fontId="10"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40" fillId="0" borderId="0" xfId="0" applyFont="1" applyAlignment="1" applyProtection="1">
      <alignment horizontal="left" wrapText="1"/>
      <protection locked="0"/>
    </xf>
    <xf numFmtId="0" fontId="10" fillId="0" borderId="0" xfId="0" applyFont="1" applyBorder="1" applyProtection="1">
      <protection locked="0"/>
    </xf>
    <xf numFmtId="0" fontId="10" fillId="6" borderId="63" xfId="0" applyFont="1" applyFill="1" applyBorder="1" applyAlignment="1" applyProtection="1">
      <alignment horizontal="center"/>
      <protection locked="0"/>
    </xf>
    <xf numFmtId="0" fontId="24" fillId="5" borderId="15" xfId="0" applyFont="1" applyFill="1" applyBorder="1" applyAlignment="1" applyProtection="1">
      <alignment horizontal="center"/>
      <protection locked="0"/>
    </xf>
    <xf numFmtId="0" fontId="22" fillId="0" borderId="0" xfId="0" applyFont="1" applyBorder="1" applyAlignment="1" applyProtection="1">
      <alignment horizontal="left" indent="1"/>
      <protection locked="0"/>
    </xf>
    <xf numFmtId="0" fontId="10" fillId="6" borderId="3" xfId="0" applyFont="1" applyFill="1" applyBorder="1" applyAlignment="1" applyProtection="1">
      <alignment horizontal="center"/>
      <protection locked="0"/>
    </xf>
    <xf numFmtId="0" fontId="24" fillId="5" borderId="16" xfId="0" applyFont="1" applyFill="1" applyBorder="1" applyAlignment="1" applyProtection="1">
      <alignment horizontal="center"/>
      <protection locked="0"/>
    </xf>
    <xf numFmtId="0" fontId="10" fillId="6" borderId="64" xfId="0" applyFont="1" applyFill="1" applyBorder="1" applyAlignment="1" applyProtection="1">
      <alignment horizontal="center"/>
      <protection locked="0"/>
    </xf>
    <xf numFmtId="0" fontId="24" fillId="5" borderId="28" xfId="0" applyFont="1" applyFill="1" applyBorder="1" applyAlignment="1" applyProtection="1">
      <alignment horizontal="center"/>
      <protection locked="0"/>
    </xf>
    <xf numFmtId="0" fontId="39" fillId="0" borderId="0" xfId="0" applyFont="1" applyAlignment="1" applyProtection="1">
      <alignment horizontal="right" indent="1"/>
      <protection locked="0"/>
    </xf>
    <xf numFmtId="1" fontId="9" fillId="0" borderId="65" xfId="0" applyNumberFormat="1" applyFont="1" applyBorder="1" applyAlignment="1" applyProtection="1">
      <alignment horizontal="center"/>
      <protection locked="0"/>
    </xf>
    <xf numFmtId="0" fontId="39" fillId="0" borderId="0" xfId="0" applyFont="1" applyAlignment="1" applyProtection="1">
      <alignment horizontal="center" vertical="center"/>
      <protection locked="0"/>
    </xf>
    <xf numFmtId="0" fontId="10" fillId="0" borderId="8" xfId="0" applyFont="1" applyBorder="1" applyAlignment="1" applyProtection="1">
      <alignment horizontal="right" vertical="center" wrapText="1" indent="1"/>
      <protection locked="0"/>
    </xf>
    <xf numFmtId="0" fontId="10" fillId="0" borderId="0" xfId="0" applyFont="1" applyAlignment="1" applyProtection="1">
      <alignment vertical="center"/>
      <protection locked="0"/>
    </xf>
    <xf numFmtId="0" fontId="22" fillId="0" borderId="0" xfId="0" applyFont="1" applyAlignment="1" applyProtection="1">
      <alignment vertical="center"/>
      <protection locked="0"/>
    </xf>
    <xf numFmtId="0" fontId="10" fillId="0" borderId="8" xfId="0" applyFont="1" applyBorder="1" applyAlignment="1" applyProtection="1">
      <alignment horizontal="right" vertical="center" indent="1"/>
      <protection locked="0"/>
    </xf>
    <xf numFmtId="0" fontId="9" fillId="0" borderId="56" xfId="0" applyFont="1" applyBorder="1" applyAlignment="1" applyProtection="1">
      <alignment horizontal="right" indent="1"/>
      <protection locked="0"/>
    </xf>
    <xf numFmtId="0" fontId="22" fillId="0" borderId="65" xfId="0" applyFont="1" applyBorder="1" applyProtection="1">
      <protection locked="0"/>
    </xf>
    <xf numFmtId="0" fontId="10" fillId="0" borderId="0" xfId="0" applyFont="1" applyAlignment="1" applyProtection="1">
      <alignment wrapText="1"/>
      <protection locked="0"/>
    </xf>
    <xf numFmtId="0" fontId="9" fillId="0" borderId="42" xfId="0" applyFont="1" applyBorder="1" applyAlignment="1" applyProtection="1">
      <alignment horizontal="center" vertical="top" wrapText="1"/>
      <protection locked="0"/>
    </xf>
    <xf numFmtId="0" fontId="9" fillId="0" borderId="36" xfId="0" applyFont="1" applyBorder="1" applyAlignment="1" applyProtection="1">
      <alignment horizontal="center" vertical="top" wrapText="1"/>
      <protection locked="0"/>
    </xf>
    <xf numFmtId="0" fontId="33" fillId="0" borderId="0" xfId="0" applyFont="1" applyAlignment="1" applyProtection="1">
      <alignment vertical="center"/>
      <protection locked="0"/>
    </xf>
    <xf numFmtId="0" fontId="10" fillId="6" borderId="39" xfId="0" applyFont="1" applyFill="1" applyBorder="1" applyAlignment="1" applyProtection="1">
      <alignment horizontal="center"/>
      <protection locked="0"/>
    </xf>
    <xf numFmtId="0" fontId="10" fillId="0" borderId="8" xfId="0" applyFont="1" applyBorder="1" applyAlignment="1" applyProtection="1">
      <alignment horizontal="left" indent="1"/>
      <protection locked="0"/>
    </xf>
    <xf numFmtId="0" fontId="10" fillId="6" borderId="48" xfId="0" applyFont="1" applyFill="1" applyBorder="1" applyAlignment="1" applyProtection="1">
      <alignment horizontal="center"/>
      <protection locked="0"/>
    </xf>
    <xf numFmtId="0" fontId="10" fillId="0" borderId="15" xfId="0" applyFont="1" applyBorder="1" applyAlignment="1" applyProtection="1">
      <alignment horizontal="left" indent="1"/>
      <protection locked="0"/>
    </xf>
    <xf numFmtId="0" fontId="10" fillId="6" borderId="40" xfId="0" applyFont="1" applyFill="1" applyBorder="1" applyAlignment="1" applyProtection="1">
      <alignment horizontal="center"/>
      <protection locked="0"/>
    </xf>
    <xf numFmtId="0" fontId="10" fillId="0" borderId="16" xfId="0" applyFont="1" applyBorder="1" applyAlignment="1" applyProtection="1">
      <alignment horizontal="left" indent="1"/>
      <protection locked="0"/>
    </xf>
    <xf numFmtId="0" fontId="10" fillId="6" borderId="66" xfId="0" applyFont="1" applyFill="1" applyBorder="1" applyAlignment="1" applyProtection="1">
      <alignment horizontal="center"/>
      <protection locked="0"/>
    </xf>
    <xf numFmtId="0" fontId="10" fillId="0" borderId="28" xfId="0" applyFont="1" applyBorder="1" applyAlignment="1" applyProtection="1">
      <alignment horizontal="left" indent="1"/>
      <protection locked="0"/>
    </xf>
    <xf numFmtId="0" fontId="33" fillId="0" borderId="0" xfId="0" applyFont="1" applyAlignment="1" applyProtection="1">
      <alignment horizontal="left" indent="1"/>
      <protection locked="0"/>
    </xf>
    <xf numFmtId="0" fontId="22" fillId="0" borderId="0" xfId="0" applyFont="1" applyAlignment="1" applyProtection="1">
      <alignment horizontal="left" indent="1"/>
      <protection locked="0"/>
    </xf>
    <xf numFmtId="0" fontId="9" fillId="0" borderId="0" xfId="0" applyFont="1" applyAlignment="1" applyProtection="1">
      <alignment vertical="top" wrapText="1"/>
      <protection locked="0"/>
    </xf>
    <xf numFmtId="0" fontId="22" fillId="0" borderId="0" xfId="0" applyFont="1" applyBorder="1" applyAlignment="1" applyProtection="1">
      <alignment vertical="top"/>
      <protection locked="0"/>
    </xf>
    <xf numFmtId="0" fontId="40" fillId="5" borderId="8" xfId="0" applyFont="1" applyFill="1" applyBorder="1" applyAlignment="1" applyProtection="1">
      <alignment horizontal="center" vertical="top" wrapText="1"/>
      <protection locked="0"/>
    </xf>
    <xf numFmtId="0" fontId="10" fillId="7" borderId="15" xfId="0" applyFont="1" applyFill="1" applyBorder="1" applyAlignment="1" applyProtection="1">
      <alignment horizontal="right" vertical="top" wrapText="1" indent="1"/>
      <protection locked="0"/>
    </xf>
    <xf numFmtId="0" fontId="10" fillId="7" borderId="16" xfId="0" applyFont="1" applyFill="1" applyBorder="1" applyAlignment="1" applyProtection="1">
      <alignment horizontal="right" vertical="top" wrapText="1" indent="1"/>
      <protection locked="0"/>
    </xf>
    <xf numFmtId="0" fontId="10" fillId="0" borderId="0" xfId="0" applyFont="1" applyAlignment="1" applyProtection="1">
      <alignment horizontal="right" vertical="top" wrapText="1" indent="1"/>
      <protection locked="0"/>
    </xf>
    <xf numFmtId="0" fontId="39" fillId="0" borderId="0" xfId="0" applyFont="1" applyAlignment="1" applyProtection="1">
      <alignment horizontal="right" vertical="top" wrapText="1" indent="1"/>
      <protection locked="0"/>
    </xf>
    <xf numFmtId="0" fontId="10" fillId="7" borderId="37" xfId="0" applyFont="1" applyFill="1" applyBorder="1" applyAlignment="1" applyProtection="1">
      <alignment horizontal="right" vertical="top" wrapText="1" indent="1"/>
      <protection locked="0"/>
    </xf>
    <xf numFmtId="0" fontId="10" fillId="7" borderId="28" xfId="0" applyFont="1" applyFill="1" applyBorder="1" applyAlignment="1" applyProtection="1">
      <alignment horizontal="right" vertical="top" wrapText="1" indent="1"/>
      <protection locked="0"/>
    </xf>
    <xf numFmtId="0" fontId="33" fillId="0" borderId="0" xfId="0" applyFont="1" applyBorder="1" applyProtection="1">
      <protection locked="0"/>
    </xf>
    <xf numFmtId="0" fontId="33" fillId="0" borderId="0" xfId="0" applyFont="1" applyBorder="1" applyAlignment="1" applyProtection="1">
      <alignment vertical="top"/>
      <protection locked="0"/>
    </xf>
    <xf numFmtId="0" fontId="10" fillId="0" borderId="0" xfId="0" applyFont="1" applyBorder="1" applyAlignment="1" applyProtection="1">
      <protection locked="0"/>
    </xf>
    <xf numFmtId="0" fontId="57" fillId="0" borderId="0" xfId="0" applyFont="1" applyAlignment="1" applyProtection="1">
      <alignment vertical="top" wrapText="1"/>
      <protection locked="0"/>
    </xf>
    <xf numFmtId="0" fontId="50" fillId="0" borderId="0" xfId="0" applyFont="1" applyProtection="1">
      <protection locked="0"/>
    </xf>
    <xf numFmtId="0" fontId="10" fillId="0" borderId="0" xfId="0" applyFont="1" applyAlignment="1" applyProtection="1">
      <alignment horizontal="center"/>
      <protection locked="0"/>
    </xf>
    <xf numFmtId="0" fontId="10" fillId="0" borderId="1" xfId="0" applyFont="1" applyBorder="1" applyAlignment="1" applyProtection="1">
      <alignment horizontal="right" indent="1"/>
      <protection locked="0"/>
    </xf>
    <xf numFmtId="0" fontId="48" fillId="0" borderId="0" xfId="0" applyFont="1" applyAlignment="1" applyProtection="1">
      <alignment horizontal="center"/>
      <protection locked="0"/>
    </xf>
    <xf numFmtId="0" fontId="10" fillId="0" borderId="0" xfId="0" applyFont="1" applyFill="1" applyBorder="1" applyAlignment="1" applyProtection="1">
      <alignment horizontal="center"/>
      <protection locked="0"/>
    </xf>
    <xf numFmtId="0" fontId="49" fillId="0" borderId="0" xfId="0" applyFont="1" applyAlignment="1" applyProtection="1">
      <alignment horizontal="center"/>
      <protection locked="0"/>
    </xf>
    <xf numFmtId="0" fontId="40" fillId="0" borderId="0" xfId="0" applyFont="1" applyAlignment="1" applyProtection="1">
      <alignment horizontal="right"/>
      <protection locked="0"/>
    </xf>
    <xf numFmtId="0" fontId="40" fillId="0" borderId="0" xfId="0" applyFont="1" applyFill="1" applyBorder="1" applyAlignment="1" applyProtection="1">
      <alignment horizontal="left"/>
      <protection locked="0"/>
    </xf>
    <xf numFmtId="0" fontId="10" fillId="5" borderId="8" xfId="0" applyFont="1" applyFill="1" applyBorder="1" applyAlignment="1" applyProtection="1">
      <alignment horizontal="left" indent="6"/>
      <protection locked="0"/>
    </xf>
    <xf numFmtId="0" fontId="40" fillId="0" borderId="0" xfId="0" applyFont="1" applyAlignment="1" applyProtection="1">
      <alignment horizontal="left" indent="1"/>
      <protection locked="0"/>
    </xf>
    <xf numFmtId="0" fontId="10" fillId="0" borderId="0" xfId="0" applyFont="1" applyAlignment="1" applyProtection="1">
      <alignment horizontal="left" indent="7"/>
      <protection locked="0"/>
    </xf>
    <xf numFmtId="0" fontId="10" fillId="0" borderId="0" xfId="0" applyFont="1" applyAlignment="1" applyProtection="1">
      <alignment horizontal="center" vertical="top"/>
      <protection locked="0"/>
    </xf>
    <xf numFmtId="0" fontId="19" fillId="0" borderId="0" xfId="0" applyFont="1" applyProtection="1">
      <protection locked="0"/>
    </xf>
    <xf numFmtId="0" fontId="53" fillId="0" borderId="0" xfId="0" applyFont="1" applyProtection="1">
      <protection locked="0"/>
    </xf>
    <xf numFmtId="0" fontId="10" fillId="0" borderId="8" xfId="0" applyFont="1" applyBorder="1" applyAlignment="1" applyProtection="1">
      <alignment horizontal="center"/>
    </xf>
    <xf numFmtId="1" fontId="9" fillId="0" borderId="39" xfId="0" applyNumberFormat="1" applyFont="1" applyBorder="1" applyAlignment="1" applyProtection="1">
      <alignment horizontal="center"/>
    </xf>
    <xf numFmtId="0" fontId="9" fillId="0" borderId="8" xfId="0" applyFont="1" applyBorder="1" applyAlignment="1" applyProtection="1">
      <alignment horizontal="center"/>
    </xf>
    <xf numFmtId="0" fontId="9" fillId="0" borderId="8" xfId="0" applyFont="1" applyBorder="1" applyAlignment="1" applyProtection="1">
      <alignment horizontal="right" indent="1"/>
    </xf>
    <xf numFmtId="0" fontId="9" fillId="0" borderId="8" xfId="0" applyFont="1" applyBorder="1" applyAlignment="1" applyProtection="1">
      <alignment horizontal="right" vertical="top" wrapText="1" indent="1"/>
    </xf>
    <xf numFmtId="0" fontId="50" fillId="0" borderId="0" xfId="0" applyFont="1" applyProtection="1"/>
    <xf numFmtId="2" fontId="10" fillId="0" borderId="8" xfId="0" applyNumberFormat="1" applyFont="1" applyBorder="1" applyAlignment="1" applyProtection="1">
      <alignment horizontal="left" indent="2"/>
    </xf>
    <xf numFmtId="2" fontId="10" fillId="0" borderId="0" xfId="0" applyNumberFormat="1" applyFont="1" applyBorder="1" applyAlignment="1" applyProtection="1">
      <alignment horizontal="left" indent="2"/>
    </xf>
    <xf numFmtId="2" fontId="10" fillId="0" borderId="0" xfId="0" applyNumberFormat="1" applyFont="1" applyBorder="1" applyAlignment="1" applyProtection="1"/>
    <xf numFmtId="2" fontId="48" fillId="0" borderId="0" xfId="0" applyNumberFormat="1" applyFont="1" applyProtection="1"/>
    <xf numFmtId="0" fontId="51" fillId="0" borderId="37" xfId="0" applyFont="1" applyBorder="1" applyAlignment="1" applyProtection="1">
      <alignment horizontal="right" indent="1"/>
    </xf>
    <xf numFmtId="0" fontId="51" fillId="0" borderId="16" xfId="0" applyFont="1" applyBorder="1" applyAlignment="1" applyProtection="1">
      <alignment horizontal="right" indent="1"/>
    </xf>
    <xf numFmtId="2" fontId="51" fillId="0" borderId="28" xfId="0" applyNumberFormat="1" applyFont="1" applyBorder="1" applyAlignment="1" applyProtection="1">
      <alignment horizontal="right" indent="1"/>
    </xf>
    <xf numFmtId="2" fontId="52" fillId="0" borderId="8" xfId="0" applyNumberFormat="1" applyFont="1" applyBorder="1" applyAlignment="1" applyProtection="1">
      <alignment horizontal="right" indent="1"/>
    </xf>
    <xf numFmtId="0" fontId="35" fillId="0" borderId="0" xfId="0" applyFont="1" applyAlignment="1" applyProtection="1">
      <alignment horizontal="center"/>
      <protection locked="0"/>
    </xf>
    <xf numFmtId="0" fontId="36" fillId="0" borderId="0" xfId="0" applyFont="1" applyAlignment="1" applyProtection="1">
      <alignment horizontal="center"/>
      <protection locked="0"/>
    </xf>
    <xf numFmtId="0" fontId="9" fillId="0" borderId="0" xfId="0" applyFont="1" applyAlignment="1" applyProtection="1">
      <alignment horizontal="left"/>
      <protection locked="0"/>
    </xf>
    <xf numFmtId="0" fontId="10" fillId="0" borderId="56" xfId="0" applyFont="1" applyFill="1" applyBorder="1" applyAlignment="1" applyProtection="1">
      <alignment horizontal="right" indent="1"/>
      <protection locked="0"/>
    </xf>
    <xf numFmtId="0" fontId="39" fillId="0" borderId="56" xfId="0" applyFont="1" applyFill="1" applyBorder="1" applyAlignment="1" applyProtection="1">
      <alignment horizontal="left" indent="1"/>
      <protection locked="0"/>
    </xf>
    <xf numFmtId="0" fontId="10" fillId="6" borderId="37" xfId="0" applyFont="1" applyFill="1" applyBorder="1" applyAlignment="1" applyProtection="1">
      <alignment horizontal="left" indent="1"/>
      <protection locked="0"/>
    </xf>
    <xf numFmtId="0" fontId="10" fillId="6" borderId="28" xfId="0" applyFont="1" applyFill="1" applyBorder="1" applyAlignment="1" applyProtection="1">
      <alignment horizontal="left" indent="1"/>
      <protection locked="0"/>
    </xf>
    <xf numFmtId="0" fontId="10" fillId="5" borderId="16" xfId="0" applyFont="1" applyFill="1" applyBorder="1" applyAlignment="1" applyProtection="1">
      <alignment horizontal="left" indent="1"/>
      <protection locked="0"/>
    </xf>
    <xf numFmtId="0" fontId="10" fillId="5" borderId="28" xfId="0" applyFont="1" applyFill="1" applyBorder="1" applyAlignment="1" applyProtection="1">
      <alignment horizontal="left" indent="1"/>
      <protection locked="0"/>
    </xf>
    <xf numFmtId="0" fontId="28" fillId="0" borderId="0" xfId="0" applyFont="1" applyAlignment="1" applyProtection="1">
      <alignment horizontal="center"/>
      <protection locked="0"/>
    </xf>
    <xf numFmtId="0" fontId="9" fillId="0" borderId="39"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54" xfId="0" applyFont="1" applyBorder="1" applyAlignment="1" applyProtection="1">
      <alignment horizontal="right"/>
      <protection locked="0"/>
    </xf>
    <xf numFmtId="0" fontId="10" fillId="6" borderId="32" xfId="0" applyFont="1" applyFill="1" applyBorder="1" applyAlignment="1" applyProtection="1">
      <alignment horizontal="right" indent="1"/>
      <protection locked="0"/>
    </xf>
    <xf numFmtId="0" fontId="9" fillId="0" borderId="40" xfId="0" applyFont="1" applyBorder="1" applyAlignment="1" applyProtection="1">
      <alignment horizontal="right"/>
      <protection locked="0"/>
    </xf>
    <xf numFmtId="0" fontId="10" fillId="0" borderId="1" xfId="0" applyFont="1" applyBorder="1" applyProtection="1">
      <protection locked="0"/>
    </xf>
    <xf numFmtId="0" fontId="9" fillId="0" borderId="66" xfId="0" applyFont="1" applyBorder="1" applyAlignment="1" applyProtection="1">
      <alignment horizontal="right"/>
      <protection locked="0"/>
    </xf>
    <xf numFmtId="0" fontId="10" fillId="6" borderId="22" xfId="0" applyFont="1" applyFill="1" applyBorder="1" applyAlignment="1" applyProtection="1">
      <alignment horizontal="right" indent="1"/>
      <protection locked="0"/>
    </xf>
    <xf numFmtId="0" fontId="10" fillId="0" borderId="55" xfId="0" applyFont="1" applyBorder="1" applyAlignment="1" applyProtection="1">
      <alignment horizontal="left" indent="1"/>
      <protection locked="0"/>
    </xf>
    <xf numFmtId="0" fontId="10" fillId="0" borderId="67" xfId="0" applyFont="1" applyBorder="1" applyAlignment="1" applyProtection="1">
      <alignment horizontal="left" indent="1"/>
      <protection locked="0"/>
    </xf>
    <xf numFmtId="0" fontId="9" fillId="0" borderId="41" xfId="0" applyFont="1" applyBorder="1" applyAlignment="1" applyProtection="1">
      <alignment horizontal="right"/>
      <protection locked="0"/>
    </xf>
    <xf numFmtId="0" fontId="10" fillId="6" borderId="25" xfId="0" applyFont="1" applyFill="1" applyBorder="1" applyAlignment="1" applyProtection="1">
      <alignment horizontal="right" indent="1"/>
      <protection locked="0"/>
    </xf>
    <xf numFmtId="0" fontId="9" fillId="0" borderId="37" xfId="0" applyFont="1" applyBorder="1" applyAlignment="1" applyProtection="1">
      <alignment horizontal="right"/>
      <protection locked="0"/>
    </xf>
    <xf numFmtId="0" fontId="10" fillId="6" borderId="61" xfId="0" applyFont="1" applyFill="1" applyBorder="1" applyAlignment="1" applyProtection="1">
      <alignment horizontal="right" indent="1"/>
      <protection locked="0"/>
    </xf>
    <xf numFmtId="0" fontId="40" fillId="0" borderId="0" xfId="0" applyFont="1" applyBorder="1" applyAlignment="1" applyProtection="1">
      <alignment horizontal="left"/>
      <protection locked="0"/>
    </xf>
    <xf numFmtId="0" fontId="9" fillId="0" borderId="28" xfId="0" applyFont="1" applyBorder="1" applyAlignment="1" applyProtection="1">
      <alignment horizontal="right"/>
      <protection locked="0"/>
    </xf>
    <xf numFmtId="0" fontId="10" fillId="6" borderId="62" xfId="0" applyFont="1" applyFill="1" applyBorder="1" applyAlignment="1" applyProtection="1">
      <alignment horizontal="right" indent="1"/>
      <protection locked="0"/>
    </xf>
    <xf numFmtId="0" fontId="40" fillId="0" borderId="0" xfId="0" applyFont="1" applyAlignment="1" applyProtection="1">
      <alignment vertical="top"/>
      <protection locked="0"/>
    </xf>
    <xf numFmtId="0" fontId="9" fillId="0" borderId="0" xfId="0" applyFont="1" applyBorder="1" applyAlignment="1" applyProtection="1">
      <alignment horizontal="left" indent="1"/>
      <protection locked="0"/>
    </xf>
    <xf numFmtId="0" fontId="9" fillId="0" borderId="0" xfId="0" applyFont="1" applyBorder="1" applyProtection="1">
      <protection locked="0"/>
    </xf>
    <xf numFmtId="0" fontId="10" fillId="0" borderId="0" xfId="0" applyFont="1" applyFill="1" applyBorder="1" applyAlignment="1" applyProtection="1">
      <alignment horizontal="left" indent="1"/>
      <protection locked="0"/>
    </xf>
    <xf numFmtId="0" fontId="10" fillId="0" borderId="0" xfId="0" applyFont="1" applyAlignment="1" applyProtection="1">
      <alignment horizontal="right" vertical="top" indent="1"/>
      <protection locked="0"/>
    </xf>
    <xf numFmtId="0" fontId="9" fillId="0" borderId="0" xfId="0" applyFont="1" applyFill="1" applyBorder="1" applyAlignment="1" applyProtection="1">
      <alignment horizontal="left" vertical="top" indent="1"/>
      <protection locked="0"/>
    </xf>
    <xf numFmtId="0" fontId="19" fillId="0" borderId="0" xfId="0" applyFont="1" applyAlignment="1" applyProtection="1">
      <alignment horizontal="left" indent="1"/>
      <protection locked="0"/>
    </xf>
    <xf numFmtId="0" fontId="9" fillId="0" borderId="0" xfId="0" applyFont="1" applyAlignment="1" applyProtection="1">
      <alignment horizontal="left" indent="2"/>
      <protection locked="0"/>
    </xf>
    <xf numFmtId="0" fontId="10" fillId="0" borderId="0" xfId="0" applyFont="1" applyAlignment="1" applyProtection="1">
      <alignment horizontal="left" indent="2"/>
      <protection locked="0"/>
    </xf>
    <xf numFmtId="9" fontId="10" fillId="0" borderId="0" xfId="0" applyNumberFormat="1" applyFont="1" applyProtection="1">
      <protection locked="0"/>
    </xf>
    <xf numFmtId="1" fontId="10" fillId="0" borderId="54" xfId="0" applyNumberFormat="1" applyFont="1" applyBorder="1" applyAlignment="1" applyProtection="1">
      <alignment horizontal="center"/>
    </xf>
    <xf numFmtId="2" fontId="10" fillId="0" borderId="33" xfId="0" applyNumberFormat="1" applyFont="1" applyBorder="1" applyAlignment="1" applyProtection="1">
      <alignment horizontal="center"/>
    </xf>
    <xf numFmtId="1" fontId="10" fillId="0" borderId="40" xfId="0" applyNumberFormat="1" applyFont="1" applyBorder="1" applyAlignment="1" applyProtection="1">
      <alignment horizontal="center"/>
    </xf>
    <xf numFmtId="2" fontId="10" fillId="0" borderId="21" xfId="0" applyNumberFormat="1" applyFont="1" applyBorder="1" applyAlignment="1" applyProtection="1">
      <alignment horizontal="center"/>
    </xf>
    <xf numFmtId="1" fontId="10" fillId="0" borderId="66" xfId="0" applyNumberFormat="1" applyFont="1" applyBorder="1" applyAlignment="1" applyProtection="1">
      <alignment horizontal="center"/>
    </xf>
    <xf numFmtId="2" fontId="10" fillId="0" borderId="23" xfId="0" applyNumberFormat="1" applyFont="1" applyBorder="1" applyAlignment="1" applyProtection="1">
      <alignment horizontal="center"/>
    </xf>
    <xf numFmtId="2" fontId="9" fillId="0" borderId="13" xfId="0" applyNumberFormat="1" applyFont="1" applyBorder="1" applyAlignment="1" applyProtection="1">
      <alignment horizontal="center"/>
    </xf>
    <xf numFmtId="2" fontId="9" fillId="0" borderId="37" xfId="0" applyNumberFormat="1" applyFont="1" applyBorder="1" applyAlignment="1" applyProtection="1">
      <alignment horizontal="center"/>
    </xf>
    <xf numFmtId="2" fontId="9" fillId="0" borderId="16" xfId="0" applyNumberFormat="1" applyFont="1" applyBorder="1" applyAlignment="1" applyProtection="1">
      <alignment horizontal="center"/>
    </xf>
    <xf numFmtId="2" fontId="9" fillId="0" borderId="8" xfId="0" applyNumberFormat="1" applyFont="1" applyFill="1" applyBorder="1" applyAlignment="1" applyProtection="1">
      <alignment horizontal="center"/>
    </xf>
    <xf numFmtId="0" fontId="37" fillId="0" borderId="0" xfId="0" applyFont="1" applyAlignment="1" applyProtection="1">
      <protection locked="0"/>
    </xf>
    <xf numFmtId="0" fontId="10" fillId="0" borderId="0" xfId="0" applyFont="1" applyBorder="1" applyAlignment="1" applyProtection="1">
      <alignment horizontal="left"/>
      <protection locked="0"/>
    </xf>
    <xf numFmtId="0" fontId="29" fillId="0" borderId="0" xfId="0" applyFont="1" applyAlignment="1" applyProtection="1">
      <protection locked="0"/>
    </xf>
    <xf numFmtId="0" fontId="29" fillId="0" borderId="0" xfId="0" applyFont="1" applyBorder="1" applyAlignment="1" applyProtection="1">
      <protection locked="0"/>
    </xf>
    <xf numFmtId="0" fontId="50" fillId="0" borderId="0" xfId="0" applyFont="1" applyBorder="1" applyAlignment="1" applyProtection="1">
      <alignment horizontal="right"/>
      <protection locked="0"/>
    </xf>
    <xf numFmtId="0" fontId="40" fillId="0" borderId="0" xfId="0" applyFont="1" applyAlignment="1" applyProtection="1">
      <protection locked="0"/>
    </xf>
    <xf numFmtId="0" fontId="50" fillId="0" borderId="0" xfId="0" applyFont="1" applyAlignment="1" applyProtection="1">
      <alignment horizontal="left" indent="1"/>
      <protection locked="0"/>
    </xf>
    <xf numFmtId="0" fontId="16" fillId="0" borderId="0" xfId="0" applyFont="1" applyBorder="1" applyAlignment="1" applyProtection="1">
      <alignment horizontal="right"/>
      <protection locked="0"/>
    </xf>
    <xf numFmtId="183" fontId="16" fillId="0" borderId="0" xfId="0" applyNumberFormat="1" applyFont="1" applyAlignment="1" applyProtection="1">
      <alignment horizontal="left" indent="1"/>
      <protection locked="0"/>
    </xf>
    <xf numFmtId="0" fontId="50" fillId="0" borderId="0" xfId="0" applyFont="1" applyAlignment="1" applyProtection="1">
      <alignment vertical="center"/>
      <protection locked="0"/>
    </xf>
    <xf numFmtId="0" fontId="28"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27" fillId="0" borderId="0" xfId="0" applyFont="1" applyBorder="1" applyAlignment="1" applyProtection="1">
      <alignment vertical="top" wrapText="1"/>
      <protection locked="0"/>
    </xf>
    <xf numFmtId="0" fontId="9" fillId="0" borderId="56"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27" fillId="0" borderId="0" xfId="0" applyFont="1" applyBorder="1" applyAlignment="1" applyProtection="1">
      <alignment horizontal="right" vertical="top" wrapText="1"/>
      <protection locked="0"/>
    </xf>
    <xf numFmtId="0" fontId="10" fillId="0" borderId="65" xfId="0" applyFont="1" applyBorder="1" applyProtection="1">
      <protection locked="0"/>
    </xf>
    <xf numFmtId="0" fontId="10" fillId="0" borderId="66" xfId="0" applyFont="1" applyBorder="1" applyAlignment="1" applyProtection="1">
      <alignment horizontal="left" indent="1"/>
      <protection locked="0"/>
    </xf>
    <xf numFmtId="0" fontId="10" fillId="0" borderId="52" xfId="0" applyFont="1" applyBorder="1" applyAlignment="1" applyProtection="1">
      <alignment horizontal="left" indent="1"/>
      <protection locked="0"/>
    </xf>
    <xf numFmtId="0" fontId="10" fillId="0" borderId="65" xfId="0" applyFont="1" applyBorder="1" applyAlignment="1" applyProtection="1">
      <alignment horizontal="left" indent="1"/>
      <protection locked="0"/>
    </xf>
    <xf numFmtId="0" fontId="10" fillId="0" borderId="0" xfId="0" applyFont="1" applyBorder="1" applyAlignment="1" applyProtection="1">
      <alignment horizontal="left" indent="1"/>
      <protection locked="0"/>
    </xf>
    <xf numFmtId="0" fontId="10" fillId="0" borderId="24" xfId="0" applyFont="1" applyBorder="1" applyAlignment="1" applyProtection="1">
      <alignment horizontal="left" indent="1"/>
      <protection locked="0"/>
    </xf>
    <xf numFmtId="0" fontId="10" fillId="0" borderId="68" xfId="0" applyFont="1" applyBorder="1" applyAlignment="1" applyProtection="1">
      <alignment horizontal="left" indent="1"/>
      <protection locked="0"/>
    </xf>
    <xf numFmtId="2" fontId="9" fillId="0" borderId="0" xfId="0" applyNumberFormat="1" applyFont="1" applyFill="1" applyBorder="1" applyAlignment="1" applyProtection="1">
      <alignment horizontal="right" indent="1"/>
      <protection locked="0"/>
    </xf>
    <xf numFmtId="0" fontId="40" fillId="0" borderId="0" xfId="0" applyFont="1" applyProtection="1">
      <protection locked="0"/>
    </xf>
    <xf numFmtId="0" fontId="53" fillId="0" borderId="0" xfId="0" applyFont="1" applyAlignment="1" applyProtection="1">
      <alignment horizontal="center"/>
      <protection locked="0"/>
    </xf>
    <xf numFmtId="2" fontId="10" fillId="0" borderId="0" xfId="0" applyNumberFormat="1" applyFont="1" applyBorder="1" applyProtection="1">
      <protection locked="0"/>
    </xf>
    <xf numFmtId="0" fontId="39" fillId="0" borderId="55" xfId="0" applyFont="1" applyBorder="1" applyAlignment="1" applyProtection="1">
      <alignment horizontal="left" indent="1"/>
      <protection locked="0"/>
    </xf>
    <xf numFmtId="0" fontId="40" fillId="0" borderId="52" xfId="0" applyFont="1" applyBorder="1" applyProtection="1">
      <protection locked="0"/>
    </xf>
    <xf numFmtId="0" fontId="10" fillId="0" borderId="46" xfId="0" applyFont="1" applyBorder="1" applyProtection="1">
      <protection locked="0"/>
    </xf>
    <xf numFmtId="0" fontId="39" fillId="0" borderId="60" xfId="0" applyFont="1" applyBorder="1" applyAlignment="1" applyProtection="1">
      <alignment horizontal="left" indent="1"/>
      <protection locked="0"/>
    </xf>
    <xf numFmtId="0" fontId="40" fillId="0" borderId="0" xfId="0" applyFont="1" applyBorder="1" applyProtection="1">
      <protection locked="0"/>
    </xf>
    <xf numFmtId="0" fontId="10" fillId="0" borderId="7" xfId="0" applyFont="1" applyBorder="1" applyProtection="1">
      <protection locked="0"/>
    </xf>
    <xf numFmtId="0" fontId="49" fillId="0" borderId="60" xfId="0" applyFont="1" applyBorder="1" applyAlignment="1" applyProtection="1">
      <alignment horizontal="left" vertical="center" indent="1"/>
      <protection locked="0"/>
    </xf>
    <xf numFmtId="0" fontId="49" fillId="0" borderId="0" xfId="0" applyFont="1" applyBorder="1" applyAlignment="1" applyProtection="1">
      <alignment vertical="center"/>
      <protection locked="0"/>
    </xf>
    <xf numFmtId="178" fontId="49" fillId="0" borderId="0" xfId="0" applyNumberFormat="1" applyFont="1" applyBorder="1" applyAlignment="1" applyProtection="1">
      <alignment vertical="center"/>
      <protection locked="0"/>
    </xf>
    <xf numFmtId="0" fontId="49" fillId="0" borderId="0" xfId="0" applyFont="1" applyBorder="1" applyAlignment="1" applyProtection="1">
      <protection locked="0"/>
    </xf>
    <xf numFmtId="0" fontId="40" fillId="0" borderId="7" xfId="0" applyFont="1" applyBorder="1" applyProtection="1">
      <protection locked="0"/>
    </xf>
    <xf numFmtId="2" fontId="49" fillId="0" borderId="0" xfId="0" applyNumberFormat="1" applyFont="1" applyBorder="1" applyAlignment="1" applyProtection="1">
      <alignment vertical="center"/>
      <protection locked="0"/>
    </xf>
    <xf numFmtId="14" fontId="49" fillId="0" borderId="0" xfId="0" applyNumberFormat="1" applyFont="1" applyBorder="1" applyAlignment="1" applyProtection="1">
      <alignment vertical="center"/>
      <protection locked="0"/>
    </xf>
    <xf numFmtId="0" fontId="10" fillId="0" borderId="60" xfId="0" applyFont="1" applyBorder="1" applyProtection="1">
      <protection locked="0"/>
    </xf>
    <xf numFmtId="0" fontId="49" fillId="0" borderId="69" xfId="0" applyFont="1" applyBorder="1" applyAlignment="1" applyProtection="1">
      <alignment wrapText="1"/>
      <protection locked="0"/>
    </xf>
    <xf numFmtId="2" fontId="10" fillId="0" borderId="63" xfId="0" applyNumberFormat="1" applyFont="1" applyBorder="1" applyAlignment="1" applyProtection="1">
      <alignment horizontal="right" indent="1"/>
    </xf>
    <xf numFmtId="2" fontId="10" fillId="0" borderId="37" xfId="0" applyNumberFormat="1" applyFont="1" applyBorder="1" applyAlignment="1" applyProtection="1">
      <alignment horizontal="right" indent="1"/>
    </xf>
    <xf numFmtId="2" fontId="10" fillId="0" borderId="52" xfId="0" applyNumberFormat="1" applyFont="1" applyBorder="1" applyAlignment="1" applyProtection="1">
      <alignment horizontal="right" indent="1"/>
    </xf>
    <xf numFmtId="2" fontId="10" fillId="0" borderId="17" xfId="0" applyNumberFormat="1" applyFont="1" applyBorder="1" applyAlignment="1" applyProtection="1">
      <alignment horizontal="right" indent="1"/>
    </xf>
    <xf numFmtId="2" fontId="10" fillId="0" borderId="3" xfId="0" applyNumberFormat="1" applyFont="1" applyBorder="1" applyAlignment="1" applyProtection="1">
      <alignment horizontal="right" indent="1"/>
    </xf>
    <xf numFmtId="2" fontId="10" fillId="0" borderId="16" xfId="0" applyNumberFormat="1" applyFont="1" applyBorder="1" applyAlignment="1" applyProtection="1">
      <alignment horizontal="right" indent="1"/>
    </xf>
    <xf numFmtId="2" fontId="10" fillId="0" borderId="40" xfId="0" applyNumberFormat="1" applyFont="1" applyBorder="1" applyAlignment="1" applyProtection="1">
      <alignment horizontal="right" indent="1"/>
    </xf>
    <xf numFmtId="2" fontId="10" fillId="0" borderId="0" xfId="0" applyNumberFormat="1" applyFont="1" applyBorder="1" applyAlignment="1" applyProtection="1">
      <alignment horizontal="right" indent="1"/>
    </xf>
    <xf numFmtId="2" fontId="10" fillId="0" borderId="70" xfId="0" applyNumberFormat="1" applyFont="1" applyBorder="1" applyAlignment="1" applyProtection="1">
      <alignment horizontal="right" indent="1"/>
    </xf>
    <xf numFmtId="2" fontId="16" fillId="0" borderId="39" xfId="0" applyNumberFormat="1" applyFont="1" applyBorder="1" applyAlignment="1" applyProtection="1">
      <alignment horizontal="right" indent="1"/>
    </xf>
    <xf numFmtId="2" fontId="16" fillId="0" borderId="8" xfId="0" applyNumberFormat="1" applyFont="1" applyBorder="1" applyAlignment="1" applyProtection="1">
      <alignment horizontal="right" indent="1"/>
    </xf>
    <xf numFmtId="2" fontId="10" fillId="0" borderId="65" xfId="0" applyNumberFormat="1" applyFont="1" applyBorder="1" applyAlignment="1" applyProtection="1">
      <alignment horizontal="right" indent="1"/>
    </xf>
    <xf numFmtId="2" fontId="28" fillId="8" borderId="39" xfId="0" applyNumberFormat="1" applyFont="1" applyFill="1" applyBorder="1" applyAlignment="1" applyProtection="1">
      <alignment horizontal="right" indent="1"/>
    </xf>
    <xf numFmtId="2" fontId="28" fillId="8" borderId="8" xfId="0" applyNumberFormat="1" applyFont="1" applyFill="1" applyBorder="1" applyAlignment="1" applyProtection="1">
      <alignment horizontal="right" indent="1"/>
    </xf>
    <xf numFmtId="2" fontId="27" fillId="0" borderId="1" xfId="0" applyNumberFormat="1" applyFont="1" applyFill="1" applyBorder="1" applyAlignment="1" applyProtection="1">
      <alignment horizontal="right" indent="1"/>
    </xf>
    <xf numFmtId="0" fontId="10" fillId="0" borderId="15" xfId="0" applyFont="1" applyBorder="1" applyAlignment="1" applyProtection="1">
      <alignment horizontal="right" indent="2"/>
    </xf>
    <xf numFmtId="1" fontId="10" fillId="0" borderId="16" xfId="0" applyNumberFormat="1" applyFont="1" applyBorder="1" applyAlignment="1" applyProtection="1">
      <alignment horizontal="right" indent="2"/>
    </xf>
    <xf numFmtId="0" fontId="10" fillId="0" borderId="16" xfId="0" applyFont="1" applyBorder="1" applyAlignment="1" applyProtection="1">
      <alignment horizontal="right" indent="2"/>
    </xf>
    <xf numFmtId="1" fontId="10" fillId="0" borderId="17" xfId="0" applyNumberFormat="1" applyFont="1" applyBorder="1" applyAlignment="1" applyProtection="1">
      <alignment horizontal="right" indent="2"/>
    </xf>
    <xf numFmtId="0" fontId="10" fillId="0" borderId="48" xfId="0" applyFont="1" applyBorder="1" applyAlignment="1" applyProtection="1">
      <alignment horizontal="right" indent="2"/>
    </xf>
    <xf numFmtId="0" fontId="10" fillId="0" borderId="70" xfId="0" applyFont="1" applyBorder="1" applyAlignment="1" applyProtection="1">
      <alignment horizontal="right" indent="2"/>
    </xf>
    <xf numFmtId="1" fontId="10" fillId="0" borderId="15" xfId="0" applyNumberFormat="1" applyFont="1" applyBorder="1" applyAlignment="1" applyProtection="1">
      <alignment horizontal="right" indent="2"/>
    </xf>
    <xf numFmtId="0" fontId="10" fillId="0" borderId="17" xfId="0" applyFont="1" applyBorder="1" applyAlignment="1" applyProtection="1">
      <alignment horizontal="right" indent="2"/>
    </xf>
    <xf numFmtId="2" fontId="9" fillId="0" borderId="8" xfId="0" applyNumberFormat="1" applyFont="1" applyBorder="1" applyAlignment="1" applyProtection="1">
      <alignment horizontal="right" indent="2"/>
    </xf>
    <xf numFmtId="1" fontId="9" fillId="0" borderId="8" xfId="0" applyNumberFormat="1" applyFont="1" applyBorder="1" applyAlignment="1" applyProtection="1">
      <alignment horizontal="right" indent="2"/>
    </xf>
    <xf numFmtId="1" fontId="10" fillId="0" borderId="8" xfId="0" applyNumberFormat="1" applyFont="1" applyBorder="1" applyAlignment="1" applyProtection="1">
      <alignment horizontal="right" indent="2"/>
    </xf>
    <xf numFmtId="1" fontId="9" fillId="0" borderId="9" xfId="0" applyNumberFormat="1" applyFont="1" applyBorder="1" applyAlignment="1" applyProtection="1">
      <alignment horizontal="right" indent="2"/>
    </xf>
    <xf numFmtId="2" fontId="16" fillId="0" borderId="0" xfId="0" applyNumberFormat="1" applyFont="1" applyAlignment="1" applyProtection="1">
      <alignment horizontal="left" indent="1"/>
    </xf>
    <xf numFmtId="0" fontId="50" fillId="0" borderId="0" xfId="0" applyFont="1" applyAlignment="1" applyProtection="1">
      <alignment horizontal="left" indent="1"/>
    </xf>
    <xf numFmtId="2" fontId="33" fillId="0" borderId="65" xfId="0" applyNumberFormat="1" applyFont="1" applyBorder="1" applyAlignment="1" applyProtection="1">
      <alignment horizontal="left"/>
    </xf>
    <xf numFmtId="0" fontId="10" fillId="0" borderId="65" xfId="0" applyFont="1" applyBorder="1" applyProtection="1"/>
    <xf numFmtId="1" fontId="10" fillId="0" borderId="65" xfId="0" applyNumberFormat="1" applyFont="1" applyBorder="1" applyProtection="1"/>
    <xf numFmtId="0" fontId="10" fillId="0" borderId="0" xfId="0" applyFont="1" applyBorder="1" applyProtection="1"/>
    <xf numFmtId="0" fontId="10" fillId="0" borderId="70" xfId="0" applyFont="1" applyBorder="1" applyProtection="1"/>
    <xf numFmtId="0" fontId="50" fillId="0" borderId="0" xfId="0" applyFont="1" applyBorder="1" applyProtection="1"/>
    <xf numFmtId="2" fontId="10" fillId="0" borderId="0" xfId="0" applyNumberFormat="1" applyFont="1" applyAlignment="1" applyProtection="1">
      <alignment horizontal="left"/>
    </xf>
    <xf numFmtId="0" fontId="28" fillId="0" borderId="56" xfId="0" applyFont="1" applyFill="1" applyBorder="1" applyAlignment="1" applyProtection="1">
      <alignment horizontal="right" indent="1"/>
      <protection locked="0"/>
    </xf>
    <xf numFmtId="0" fontId="28" fillId="0" borderId="0" xfId="0" applyFont="1" applyFill="1" applyBorder="1" applyAlignment="1" applyProtection="1">
      <alignment horizontal="right" indent="1"/>
      <protection locked="0"/>
    </xf>
    <xf numFmtId="2" fontId="28" fillId="0" borderId="0" xfId="0" applyNumberFormat="1" applyFont="1" applyFill="1" applyBorder="1" applyAlignment="1" applyProtection="1">
      <alignment horizontal="right" indent="1"/>
    </xf>
    <xf numFmtId="2" fontId="10" fillId="0" borderId="0" xfId="0" applyNumberFormat="1" applyFont="1" applyFill="1" applyBorder="1" applyAlignment="1" applyProtection="1">
      <alignment horizontal="left"/>
    </xf>
    <xf numFmtId="2" fontId="9" fillId="0" borderId="0" xfId="0" applyNumberFormat="1" applyFont="1" applyFill="1" applyBorder="1" applyAlignment="1" applyProtection="1">
      <alignment horizontal="right" indent="2"/>
    </xf>
    <xf numFmtId="0" fontId="40" fillId="0" borderId="0" xfId="0" applyFont="1" applyFill="1" applyBorder="1" applyAlignment="1" applyProtection="1">
      <alignment horizontal="left" wrapText="1" indent="1"/>
      <protection locked="0"/>
    </xf>
    <xf numFmtId="2" fontId="10" fillId="0" borderId="0" xfId="0" applyNumberFormat="1" applyFont="1" applyFill="1" applyBorder="1" applyAlignment="1" applyProtection="1">
      <alignment horizontal="left" indent="1"/>
      <protection locked="0"/>
    </xf>
    <xf numFmtId="0" fontId="0" fillId="0" borderId="0" xfId="0" applyAlignment="1">
      <alignment horizontal="left" vertical="center" indent="1"/>
    </xf>
    <xf numFmtId="0" fontId="0" fillId="0" borderId="0" xfId="0" applyFont="1"/>
    <xf numFmtId="0" fontId="8" fillId="0" borderId="0" xfId="0" applyFont="1" applyFill="1" applyBorder="1"/>
    <xf numFmtId="0" fontId="59" fillId="0" borderId="1" xfId="0" applyFont="1" applyBorder="1"/>
    <xf numFmtId="172" fontId="59" fillId="0" borderId="1" xfId="0" applyNumberFormat="1" applyFont="1" applyBorder="1"/>
    <xf numFmtId="172" fontId="0" fillId="0" borderId="1" xfId="0" applyNumberFormat="1" applyFont="1" applyBorder="1"/>
    <xf numFmtId="0" fontId="0" fillId="0" borderId="1" xfId="0" applyFont="1" applyBorder="1"/>
    <xf numFmtId="0" fontId="60" fillId="0" borderId="0" xfId="0" applyFont="1"/>
    <xf numFmtId="0" fontId="0" fillId="5" borderId="8" xfId="0" applyFont="1" applyFill="1" applyBorder="1" applyAlignment="1" applyProtection="1">
      <alignment horizontal="center"/>
      <protection locked="0"/>
    </xf>
    <xf numFmtId="0" fontId="58" fillId="0" borderId="0" xfId="1" applyFont="1" applyAlignment="1" applyProtection="1">
      <protection locked="0"/>
    </xf>
    <xf numFmtId="0" fontId="0" fillId="0" borderId="66" xfId="0" applyFont="1" applyBorder="1" applyAlignment="1" applyProtection="1">
      <alignment horizontal="right" indent="1"/>
      <protection locked="0"/>
    </xf>
    <xf numFmtId="0" fontId="35" fillId="0" borderId="0" xfId="0" applyFont="1" applyAlignment="1" applyProtection="1">
      <alignment horizontal="center"/>
      <protection locked="0"/>
    </xf>
    <xf numFmtId="0" fontId="36" fillId="0" borderId="0" xfId="0" applyFont="1" applyAlignment="1" applyProtection="1">
      <alignment horizontal="center"/>
      <protection locked="0"/>
    </xf>
    <xf numFmtId="0" fontId="37" fillId="0" borderId="0" xfId="0" applyFont="1" applyAlignment="1" applyProtection="1">
      <alignment horizontal="left"/>
      <protection locked="0"/>
    </xf>
    <xf numFmtId="0" fontId="38" fillId="0" borderId="0" xfId="0" applyFont="1" applyAlignment="1" applyProtection="1">
      <alignment horizontal="left"/>
      <protection locked="0"/>
    </xf>
    <xf numFmtId="0" fontId="10" fillId="0" borderId="0" xfId="0" applyFont="1" applyAlignment="1" applyProtection="1">
      <alignment horizontal="left" vertical="top" wrapText="1"/>
      <protection locked="0"/>
    </xf>
    <xf numFmtId="0" fontId="10" fillId="0" borderId="0" xfId="0" applyFont="1" applyAlignment="1" applyProtection="1">
      <alignment horizontal="left" vertical="top"/>
      <protection locked="0"/>
    </xf>
    <xf numFmtId="0" fontId="10" fillId="0" borderId="32" xfId="0" applyFont="1" applyBorder="1" applyAlignment="1" applyProtection="1">
      <alignment horizontal="right" indent="1"/>
      <protection locked="0"/>
    </xf>
    <xf numFmtId="0" fontId="10" fillId="0" borderId="29" xfId="0" applyFont="1" applyBorder="1" applyAlignment="1" applyProtection="1">
      <alignment horizontal="right" indent="1"/>
      <protection locked="0"/>
    </xf>
    <xf numFmtId="0" fontId="10" fillId="0" borderId="35" xfId="0" applyFont="1" applyBorder="1" applyAlignment="1" applyProtection="1">
      <alignment horizontal="right" indent="1"/>
      <protection locked="0"/>
    </xf>
    <xf numFmtId="0" fontId="9" fillId="6" borderId="54" xfId="0" applyFont="1" applyFill="1" applyBorder="1" applyAlignment="1" applyProtection="1">
      <alignment horizontal="left" indent="1"/>
      <protection locked="0"/>
    </xf>
    <xf numFmtId="0" fontId="9" fillId="6" borderId="61" xfId="0" applyFont="1" applyFill="1" applyBorder="1" applyAlignment="1" applyProtection="1">
      <alignment horizontal="left" indent="1"/>
      <protection locked="0"/>
    </xf>
    <xf numFmtId="0" fontId="10" fillId="0" borderId="20" xfId="0" applyFont="1" applyBorder="1" applyAlignment="1" applyProtection="1">
      <alignment horizontal="right" indent="1"/>
      <protection locked="0"/>
    </xf>
    <xf numFmtId="0" fontId="10" fillId="0" borderId="1" xfId="0" applyFont="1" applyBorder="1" applyAlignment="1" applyProtection="1">
      <alignment horizontal="right" indent="1"/>
      <protection locked="0"/>
    </xf>
    <xf numFmtId="0" fontId="10" fillId="0" borderId="2" xfId="0" applyFont="1" applyBorder="1" applyAlignment="1" applyProtection="1">
      <alignment horizontal="right" indent="1"/>
      <protection locked="0"/>
    </xf>
    <xf numFmtId="0" fontId="9" fillId="6" borderId="40" xfId="0" applyFont="1" applyFill="1" applyBorder="1" applyAlignment="1" applyProtection="1">
      <alignment horizontal="left" indent="1"/>
      <protection locked="0"/>
    </xf>
    <xf numFmtId="0" fontId="9" fillId="6" borderId="51" xfId="0" applyFont="1" applyFill="1" applyBorder="1" applyAlignment="1" applyProtection="1">
      <alignment horizontal="left" indent="1"/>
      <protection locked="0"/>
    </xf>
    <xf numFmtId="0" fontId="10" fillId="0" borderId="40" xfId="0" applyFont="1" applyBorder="1" applyAlignment="1" applyProtection="1">
      <alignment horizontal="right" indent="1"/>
      <protection locked="0"/>
    </xf>
    <xf numFmtId="0" fontId="10" fillId="0" borderId="3" xfId="0" applyFont="1" applyBorder="1" applyAlignment="1" applyProtection="1">
      <alignment horizontal="right" indent="1"/>
      <protection locked="0"/>
    </xf>
    <xf numFmtId="0" fontId="10" fillId="0" borderId="51" xfId="0" applyFont="1" applyBorder="1" applyAlignment="1" applyProtection="1">
      <alignment horizontal="right" indent="1"/>
      <protection locked="0"/>
    </xf>
    <xf numFmtId="0" fontId="10" fillId="0" borderId="22" xfId="0" applyFont="1" applyBorder="1" applyAlignment="1" applyProtection="1">
      <alignment horizontal="right" indent="1"/>
      <protection locked="0"/>
    </xf>
    <xf numFmtId="0" fontId="10" fillId="0" borderId="10" xfId="0" applyFont="1" applyBorder="1" applyAlignment="1" applyProtection="1">
      <alignment horizontal="right" indent="1"/>
      <protection locked="0"/>
    </xf>
    <xf numFmtId="0" fontId="10" fillId="0" borderId="55" xfId="0" applyFont="1" applyBorder="1" applyAlignment="1" applyProtection="1">
      <alignment horizontal="right" indent="1"/>
      <protection locked="0"/>
    </xf>
    <xf numFmtId="0" fontId="10" fillId="0" borderId="0" xfId="0" applyFont="1" applyAlignment="1" applyProtection="1">
      <alignment horizontal="left" vertical="top" wrapText="1" indent="1"/>
      <protection locked="0"/>
    </xf>
    <xf numFmtId="0" fontId="10" fillId="0" borderId="0" xfId="0" applyFont="1" applyAlignment="1" applyProtection="1">
      <alignment horizontal="left" indent="1"/>
      <protection locked="0"/>
    </xf>
    <xf numFmtId="0" fontId="9" fillId="0" borderId="72" xfId="0" applyFont="1" applyBorder="1" applyAlignment="1" applyProtection="1">
      <alignment horizontal="center" vertical="center" wrapText="1"/>
      <protection locked="0"/>
    </xf>
    <xf numFmtId="0" fontId="10" fillId="0" borderId="73" xfId="0" applyFont="1" applyBorder="1" applyAlignment="1" applyProtection="1">
      <alignment horizontal="center" vertical="center" wrapText="1"/>
      <protection locked="0"/>
    </xf>
    <xf numFmtId="0" fontId="10" fillId="5" borderId="2" xfId="0" applyFont="1" applyFill="1" applyBorder="1" applyAlignment="1" applyProtection="1">
      <alignment horizontal="left" indent="1"/>
      <protection locked="0"/>
    </xf>
    <xf numFmtId="0" fontId="10" fillId="5" borderId="51" xfId="0" applyFont="1" applyFill="1" applyBorder="1" applyAlignment="1" applyProtection="1">
      <alignment horizontal="left" indent="1"/>
      <protection locked="0"/>
    </xf>
    <xf numFmtId="0" fontId="10" fillId="5" borderId="39" xfId="0" applyFont="1" applyFill="1" applyBorder="1" applyAlignment="1" applyProtection="1">
      <alignment horizontal="center"/>
      <protection locked="0"/>
    </xf>
    <xf numFmtId="0" fontId="10" fillId="5" borderId="73" xfId="0" applyFont="1" applyFill="1" applyBorder="1" applyAlignment="1" applyProtection="1">
      <alignment horizontal="center"/>
      <protection locked="0"/>
    </xf>
    <xf numFmtId="0" fontId="0" fillId="5" borderId="39" xfId="0" applyFont="1" applyFill="1" applyBorder="1" applyAlignment="1" applyProtection="1">
      <alignment horizontal="center"/>
      <protection locked="0"/>
    </xf>
    <xf numFmtId="0" fontId="10" fillId="0" borderId="0" xfId="0" applyFont="1" applyFill="1" applyBorder="1" applyAlignment="1" applyProtection="1">
      <alignment horizontal="left" indent="1"/>
      <protection locked="0"/>
    </xf>
    <xf numFmtId="0" fontId="9" fillId="0" borderId="39" xfId="0" applyFont="1" applyBorder="1" applyAlignment="1" applyProtection="1">
      <alignment horizontal="center" vertical="center" wrapText="1"/>
      <protection locked="0"/>
    </xf>
    <xf numFmtId="0" fontId="10" fillId="0" borderId="73" xfId="0" applyFont="1" applyBorder="1" applyAlignment="1" applyProtection="1">
      <protection locked="0"/>
    </xf>
    <xf numFmtId="0" fontId="10" fillId="0" borderId="38" xfId="0" applyFont="1" applyBorder="1" applyAlignment="1" applyProtection="1">
      <alignment horizontal="left" indent="1"/>
      <protection locked="0"/>
    </xf>
    <xf numFmtId="0" fontId="10" fillId="0" borderId="62" xfId="0" applyFont="1" applyBorder="1" applyAlignment="1" applyProtection="1">
      <alignment horizontal="left" indent="1"/>
      <protection locked="0"/>
    </xf>
    <xf numFmtId="0" fontId="2" fillId="0" borderId="0" xfId="0" applyFont="1" applyAlignment="1" applyProtection="1">
      <alignment horizontal="right" indent="1"/>
      <protection locked="0"/>
    </xf>
    <xf numFmtId="0" fontId="24" fillId="0" borderId="0" xfId="0" applyFont="1" applyAlignment="1" applyProtection="1">
      <alignment horizontal="right" indent="1"/>
      <protection locked="0"/>
    </xf>
    <xf numFmtId="0" fontId="41" fillId="0" borderId="0" xfId="0" applyFont="1" applyAlignment="1" applyProtection="1">
      <alignment horizontal="left" indent="1"/>
      <protection locked="0"/>
    </xf>
    <xf numFmtId="0" fontId="41" fillId="0" borderId="24" xfId="0" applyFont="1" applyBorder="1" applyAlignment="1" applyProtection="1">
      <alignment horizontal="left" indent="1"/>
      <protection locked="0"/>
    </xf>
    <xf numFmtId="0" fontId="10" fillId="0" borderId="2" xfId="0" applyFont="1" applyBorder="1" applyAlignment="1" applyProtection="1">
      <alignment horizontal="left" indent="1"/>
      <protection locked="0"/>
    </xf>
    <xf numFmtId="0" fontId="10" fillId="0" borderId="51" xfId="0" applyFont="1" applyBorder="1" applyAlignment="1" applyProtection="1">
      <alignment horizontal="left" indent="1"/>
      <protection locked="0"/>
    </xf>
    <xf numFmtId="0" fontId="39" fillId="5" borderId="66" xfId="0" applyFont="1" applyFill="1" applyBorder="1" applyAlignment="1" applyProtection="1">
      <alignment horizontal="left" indent="1"/>
      <protection locked="0"/>
    </xf>
    <xf numFmtId="0" fontId="39" fillId="5" borderId="67" xfId="0" applyFont="1" applyFill="1" applyBorder="1" applyAlignment="1" applyProtection="1">
      <alignment horizontal="left" indent="1"/>
      <protection locked="0"/>
    </xf>
    <xf numFmtId="183" fontId="9" fillId="6" borderId="40" xfId="0" applyNumberFormat="1" applyFont="1" applyFill="1" applyBorder="1" applyAlignment="1" applyProtection="1">
      <alignment horizontal="left" indent="1"/>
      <protection locked="0"/>
    </xf>
    <xf numFmtId="183" fontId="9" fillId="6" borderId="51" xfId="0" applyNumberFormat="1" applyFont="1" applyFill="1" applyBorder="1" applyAlignment="1" applyProtection="1">
      <alignment horizontal="left" indent="1"/>
      <protection locked="0"/>
    </xf>
    <xf numFmtId="0" fontId="10" fillId="0" borderId="25" xfId="0" applyFont="1" applyBorder="1" applyAlignment="1" applyProtection="1">
      <alignment horizontal="right" indent="1"/>
      <protection locked="0"/>
    </xf>
    <xf numFmtId="0" fontId="10" fillId="0" borderId="26" xfId="0" applyFont="1" applyBorder="1" applyAlignment="1" applyProtection="1">
      <alignment horizontal="right" indent="1"/>
      <protection locked="0"/>
    </xf>
    <xf numFmtId="0" fontId="10" fillId="0" borderId="38" xfId="0" applyFont="1" applyBorder="1" applyAlignment="1" applyProtection="1">
      <alignment horizontal="right" indent="1"/>
      <protection locked="0"/>
    </xf>
    <xf numFmtId="0" fontId="10" fillId="0" borderId="56" xfId="0" applyFont="1" applyFill="1" applyBorder="1" applyAlignment="1" applyProtection="1">
      <alignment horizontal="right" wrapText="1"/>
      <protection locked="0"/>
    </xf>
    <xf numFmtId="0" fontId="10" fillId="0" borderId="56" xfId="0" applyFont="1" applyBorder="1" applyAlignment="1" applyProtection="1">
      <alignment wrapText="1"/>
      <protection locked="0"/>
    </xf>
    <xf numFmtId="0" fontId="9" fillId="0" borderId="49" xfId="0" applyFont="1" applyFill="1" applyBorder="1" applyAlignment="1" applyProtection="1">
      <alignment horizontal="left"/>
      <protection locked="0"/>
    </xf>
    <xf numFmtId="0" fontId="9" fillId="0" borderId="49" xfId="0" applyFont="1" applyBorder="1" applyAlignment="1" applyProtection="1">
      <alignment horizontal="left"/>
      <protection locked="0"/>
    </xf>
    <xf numFmtId="0" fontId="9" fillId="0" borderId="0" xfId="0" applyFont="1" applyBorder="1" applyAlignment="1" applyProtection="1">
      <alignment horizontal="left"/>
      <protection locked="0"/>
    </xf>
    <xf numFmtId="0" fontId="9" fillId="0" borderId="71" xfId="0" applyFont="1" applyFill="1" applyBorder="1" applyAlignment="1" applyProtection="1">
      <alignment horizontal="left" vertical="center"/>
      <protection locked="0"/>
    </xf>
    <xf numFmtId="0" fontId="9" fillId="0" borderId="71" xfId="0" applyFont="1" applyBorder="1" applyAlignment="1" applyProtection="1">
      <alignment horizontal="left" vertical="center"/>
      <protection locked="0"/>
    </xf>
    <xf numFmtId="0" fontId="10" fillId="0" borderId="71" xfId="0" applyFont="1" applyFill="1" applyBorder="1" applyAlignment="1" applyProtection="1">
      <alignment horizontal="left" vertical="center" wrapText="1" indent="1"/>
      <protection locked="0"/>
    </xf>
    <xf numFmtId="0" fontId="10" fillId="0" borderId="71" xfId="0" applyFont="1" applyBorder="1" applyAlignment="1" applyProtection="1">
      <alignment horizontal="left" vertical="center" indent="1"/>
      <protection locked="0"/>
    </xf>
    <xf numFmtId="0" fontId="10" fillId="9" borderId="0" xfId="0" applyFont="1" applyFill="1" applyBorder="1" applyAlignment="1" applyProtection="1">
      <alignment horizontal="left" vertical="top" wrapText="1" indent="1"/>
      <protection locked="0"/>
    </xf>
    <xf numFmtId="0" fontId="0" fillId="0" borderId="0" xfId="0" applyFont="1" applyAlignment="1" applyProtection="1">
      <alignment horizontal="left" vertical="top" wrapText="1"/>
      <protection locked="0"/>
    </xf>
    <xf numFmtId="0" fontId="10" fillId="0" borderId="0" xfId="0" applyFont="1" applyAlignment="1" applyProtection="1">
      <alignment vertical="top" wrapText="1"/>
      <protection locked="0"/>
    </xf>
    <xf numFmtId="0" fontId="16" fillId="0" borderId="0" xfId="0" applyFont="1" applyBorder="1" applyAlignment="1" applyProtection="1">
      <alignment horizontal="left" indent="1"/>
      <protection locked="0"/>
    </xf>
    <xf numFmtId="0" fontId="10" fillId="0" borderId="52" xfId="0" applyFont="1" applyBorder="1" applyAlignment="1" applyProtection="1">
      <alignment horizontal="right" indent="1"/>
      <protection locked="0"/>
    </xf>
    <xf numFmtId="0" fontId="10" fillId="0" borderId="71" xfId="0" applyFont="1" applyBorder="1" applyAlignment="1" applyProtection="1">
      <alignment vertical="center" wrapText="1"/>
      <protection locked="0"/>
    </xf>
    <xf numFmtId="0" fontId="10" fillId="0" borderId="0" xfId="0" applyFont="1" applyBorder="1" applyAlignment="1" applyProtection="1">
      <alignment horizontal="left" vertical="center" wrapText="1" indent="1"/>
      <protection locked="0"/>
    </xf>
    <xf numFmtId="0" fontId="10" fillId="0" borderId="0" xfId="0" applyFont="1" applyAlignment="1" applyProtection="1">
      <alignment horizontal="left" vertical="center" wrapText="1" indent="1"/>
      <protection locked="0"/>
    </xf>
    <xf numFmtId="0" fontId="10" fillId="0" borderId="0" xfId="0" applyFont="1" applyBorder="1" applyAlignment="1" applyProtection="1">
      <alignment horizontal="right" indent="1"/>
      <protection locked="0"/>
    </xf>
    <xf numFmtId="0" fontId="10" fillId="0" borderId="0" xfId="0" applyFont="1" applyAlignment="1" applyProtection="1">
      <alignment horizontal="right" indent="1"/>
      <protection locked="0"/>
    </xf>
    <xf numFmtId="0" fontId="10" fillId="0" borderId="24" xfId="0" applyFont="1" applyBorder="1" applyAlignment="1" applyProtection="1">
      <alignment horizontal="right" indent="1"/>
      <protection locked="0"/>
    </xf>
    <xf numFmtId="0" fontId="10" fillId="0" borderId="0" xfId="0" applyFont="1" applyAlignment="1" applyProtection="1">
      <alignment horizontal="left" wrapText="1" indent="1"/>
      <protection locked="0"/>
    </xf>
    <xf numFmtId="0" fontId="10" fillId="0" borderId="0" xfId="0" applyFont="1" applyAlignment="1" applyProtection="1">
      <alignment horizontal="left" vertical="center" indent="1"/>
      <protection locked="0"/>
    </xf>
    <xf numFmtId="1" fontId="9" fillId="0" borderId="0" xfId="0" applyNumberFormat="1" applyFont="1" applyBorder="1" applyAlignment="1" applyProtection="1">
      <alignment horizontal="left"/>
      <protection locked="0"/>
    </xf>
    <xf numFmtId="0" fontId="10" fillId="0" borderId="0" xfId="0" applyFont="1" applyAlignment="1" applyProtection="1">
      <alignment horizontal="left"/>
      <protection locked="0"/>
    </xf>
    <xf numFmtId="0" fontId="10" fillId="0" borderId="71" xfId="0" applyFont="1" applyBorder="1" applyAlignment="1" applyProtection="1">
      <alignment horizontal="left" vertical="center" wrapText="1" indent="1"/>
      <protection locked="0"/>
    </xf>
    <xf numFmtId="0" fontId="9" fillId="0" borderId="0" xfId="0" applyFont="1" applyAlignment="1" applyProtection="1">
      <alignment horizontal="right" indent="1"/>
      <protection locked="0"/>
    </xf>
    <xf numFmtId="0" fontId="39" fillId="0" borderId="0" xfId="0" applyFont="1" applyAlignment="1" applyProtection="1">
      <alignment horizontal="right" vertical="top" wrapText="1" indent="1"/>
      <protection locked="0"/>
    </xf>
    <xf numFmtId="0" fontId="10" fillId="0" borderId="0" xfId="0" applyFont="1" applyAlignment="1" applyProtection="1">
      <alignment horizontal="left" vertical="top" indent="1"/>
      <protection locked="0"/>
    </xf>
    <xf numFmtId="0" fontId="40" fillId="5" borderId="39" xfId="0" applyFont="1" applyFill="1" applyBorder="1" applyAlignment="1" applyProtection="1">
      <alignment horizontal="center" vertical="center" wrapText="1"/>
      <protection locked="0"/>
    </xf>
    <xf numFmtId="0" fontId="40" fillId="5" borderId="73" xfId="0" applyFont="1" applyFill="1" applyBorder="1" applyAlignment="1" applyProtection="1">
      <alignment horizontal="center" vertical="center" wrapText="1"/>
      <protection locked="0"/>
    </xf>
    <xf numFmtId="1" fontId="10" fillId="0" borderId="39" xfId="0" applyNumberFormat="1" applyFont="1" applyBorder="1" applyAlignment="1" applyProtection="1">
      <alignment horizontal="center" vertical="center"/>
    </xf>
    <xf numFmtId="1" fontId="10" fillId="0" borderId="73" xfId="0" applyNumberFormat="1" applyFont="1" applyBorder="1" applyAlignment="1" applyProtection="1">
      <alignment horizontal="center" vertical="center"/>
    </xf>
    <xf numFmtId="1" fontId="10" fillId="0" borderId="42" xfId="0" applyNumberFormat="1" applyFont="1" applyBorder="1" applyAlignment="1" applyProtection="1">
      <alignment horizontal="center" vertical="center"/>
    </xf>
    <xf numFmtId="1" fontId="10" fillId="0" borderId="57" xfId="0" applyNumberFormat="1" applyFont="1" applyBorder="1" applyAlignment="1" applyProtection="1">
      <alignment horizontal="center" vertical="center"/>
    </xf>
    <xf numFmtId="1" fontId="9" fillId="0" borderId="39" xfId="0" applyNumberFormat="1" applyFont="1" applyBorder="1" applyAlignment="1" applyProtection="1">
      <alignment horizontal="center" vertical="center"/>
    </xf>
    <xf numFmtId="1" fontId="9" fillId="0" borderId="75" xfId="0" applyNumberFormat="1" applyFont="1" applyBorder="1" applyAlignment="1" applyProtection="1">
      <alignment horizontal="center" vertical="center"/>
    </xf>
    <xf numFmtId="0" fontId="9" fillId="0" borderId="42" xfId="0" applyFont="1" applyBorder="1" applyAlignment="1" applyProtection="1">
      <alignment horizontal="center" vertical="center" wrapText="1"/>
      <protection locked="0"/>
    </xf>
    <xf numFmtId="0" fontId="10" fillId="0" borderId="68" xfId="0" applyFont="1" applyBorder="1" applyAlignment="1" applyProtection="1">
      <alignment vertical="center"/>
      <protection locked="0"/>
    </xf>
    <xf numFmtId="0" fontId="9" fillId="0" borderId="36" xfId="0" applyFont="1" applyBorder="1" applyAlignment="1" applyProtection="1">
      <alignment horizontal="center" vertical="center" wrapText="1"/>
      <protection locked="0"/>
    </xf>
    <xf numFmtId="0" fontId="10" fillId="0" borderId="9" xfId="0" applyFont="1" applyBorder="1" applyAlignment="1" applyProtection="1">
      <alignment vertical="center"/>
      <protection locked="0"/>
    </xf>
    <xf numFmtId="0" fontId="10" fillId="0" borderId="57" xfId="0" applyFont="1" applyBorder="1" applyAlignment="1" applyProtection="1">
      <alignment vertical="center"/>
      <protection locked="0"/>
    </xf>
    <xf numFmtId="0" fontId="10" fillId="0" borderId="74" xfId="0" applyFont="1" applyBorder="1" applyAlignment="1" applyProtection="1">
      <alignment vertical="center"/>
      <protection locked="0"/>
    </xf>
    <xf numFmtId="0" fontId="40" fillId="0" borderId="0" xfId="0" applyFont="1" applyAlignment="1" applyProtection="1">
      <alignment horizontal="right" wrapText="1" indent="1"/>
      <protection locked="0"/>
    </xf>
    <xf numFmtId="0" fontId="24" fillId="0" borderId="0" xfId="0" applyFont="1" applyAlignment="1" applyProtection="1">
      <alignment horizontal="center" wrapText="1"/>
      <protection locked="0"/>
    </xf>
    <xf numFmtId="0" fontId="24" fillId="5" borderId="72" xfId="0" applyFont="1" applyFill="1" applyBorder="1" applyAlignment="1" applyProtection="1">
      <alignment horizontal="center" vertical="center"/>
      <protection locked="0"/>
    </xf>
    <xf numFmtId="0" fontId="24" fillId="5" borderId="75" xfId="0" applyFont="1" applyFill="1" applyBorder="1" applyAlignment="1" applyProtection="1">
      <alignment horizontal="center" vertical="center"/>
      <protection locked="0"/>
    </xf>
    <xf numFmtId="0" fontId="24" fillId="5" borderId="73" xfId="0" applyFont="1" applyFill="1" applyBorder="1" applyAlignment="1" applyProtection="1">
      <alignment horizontal="center" vertical="center"/>
      <protection locked="0"/>
    </xf>
    <xf numFmtId="0" fontId="24" fillId="0" borderId="75" xfId="0" applyFont="1" applyBorder="1" applyAlignment="1" applyProtection="1">
      <alignment horizontal="center"/>
      <protection locked="0"/>
    </xf>
    <xf numFmtId="0" fontId="24" fillId="0" borderId="73" xfId="0" applyFont="1" applyBorder="1" applyAlignment="1" applyProtection="1">
      <alignment horizontal="center"/>
      <protection locked="0"/>
    </xf>
    <xf numFmtId="0" fontId="10" fillId="0" borderId="0" xfId="0" applyFont="1" applyBorder="1" applyAlignment="1" applyProtection="1">
      <protection locked="0"/>
    </xf>
    <xf numFmtId="0" fontId="10" fillId="5" borderId="39" xfId="0" applyFont="1" applyFill="1" applyBorder="1" applyAlignment="1" applyProtection="1">
      <alignment horizontal="left" indent="1"/>
      <protection locked="0"/>
    </xf>
    <xf numFmtId="0" fontId="10" fillId="5" borderId="75" xfId="0" applyFont="1" applyFill="1" applyBorder="1" applyAlignment="1" applyProtection="1">
      <alignment horizontal="left" indent="1"/>
      <protection locked="0"/>
    </xf>
    <xf numFmtId="0" fontId="10" fillId="0" borderId="75" xfId="0" applyFont="1" applyBorder="1" applyAlignment="1" applyProtection="1">
      <alignment horizontal="left" indent="1"/>
      <protection locked="0"/>
    </xf>
    <xf numFmtId="0" fontId="10" fillId="0" borderId="73" xfId="0" applyFont="1" applyBorder="1" applyAlignment="1" applyProtection="1">
      <alignment horizontal="left" indent="1"/>
      <protection locked="0"/>
    </xf>
    <xf numFmtId="0" fontId="40" fillId="0" borderId="0" xfId="0" applyFont="1" applyAlignment="1" applyProtection="1">
      <alignment horizontal="right" vertical="top" wrapText="1" indent="1"/>
      <protection locked="0"/>
    </xf>
    <xf numFmtId="0" fontId="39" fillId="0" borderId="0" xfId="0" applyFont="1" applyAlignment="1" applyProtection="1">
      <alignment wrapText="1"/>
      <protection locked="0"/>
    </xf>
    <xf numFmtId="0" fontId="24" fillId="0" borderId="0" xfId="0" applyFont="1" applyAlignment="1" applyProtection="1">
      <alignment horizontal="right" vertical="top" wrapText="1" indent="1"/>
      <protection locked="0"/>
    </xf>
    <xf numFmtId="0" fontId="10" fillId="0" borderId="65" xfId="0" applyFont="1" applyBorder="1" applyAlignment="1" applyProtection="1">
      <alignment vertical="top" wrapText="1"/>
      <protection locked="0"/>
    </xf>
    <xf numFmtId="0" fontId="24" fillId="5" borderId="20" xfId="0" applyFont="1" applyFill="1" applyBorder="1" applyAlignment="1" applyProtection="1">
      <alignment horizontal="center"/>
      <protection locked="0"/>
    </xf>
    <xf numFmtId="0" fontId="24" fillId="5" borderId="21" xfId="0" applyFont="1" applyFill="1" applyBorder="1" applyAlignment="1" applyProtection="1">
      <protection locked="0"/>
    </xf>
    <xf numFmtId="0" fontId="9" fillId="0" borderId="0" xfId="0" applyFont="1" applyAlignment="1" applyProtection="1">
      <alignment horizontal="right" wrapText="1" indent="1"/>
      <protection locked="0"/>
    </xf>
    <xf numFmtId="0" fontId="10" fillId="0" borderId="54" xfId="0" applyFont="1" applyFill="1" applyBorder="1" applyAlignment="1" applyProtection="1">
      <alignment horizontal="left" indent="1"/>
      <protection locked="0"/>
    </xf>
    <xf numFmtId="0" fontId="10" fillId="0" borderId="61" xfId="0" applyFont="1" applyBorder="1" applyAlignment="1" applyProtection="1">
      <alignment horizontal="left" indent="1"/>
      <protection locked="0"/>
    </xf>
    <xf numFmtId="0" fontId="9" fillId="0" borderId="42" xfId="0" applyFont="1" applyBorder="1" applyAlignment="1" applyProtection="1">
      <alignment horizontal="center" vertical="center"/>
      <protection locked="0"/>
    </xf>
    <xf numFmtId="0" fontId="10" fillId="0" borderId="57" xfId="0" applyFont="1" applyBorder="1" applyAlignment="1" applyProtection="1">
      <alignment horizontal="center" vertical="center"/>
      <protection locked="0"/>
    </xf>
    <xf numFmtId="0" fontId="10" fillId="0" borderId="68" xfId="0" applyFont="1" applyBorder="1" applyAlignment="1" applyProtection="1">
      <alignment horizontal="center"/>
      <protection locked="0"/>
    </xf>
    <xf numFmtId="0" fontId="10" fillId="0" borderId="74" xfId="0" applyFont="1" applyBorder="1" applyAlignment="1" applyProtection="1">
      <alignment horizontal="center"/>
      <protection locked="0"/>
    </xf>
    <xf numFmtId="0" fontId="10" fillId="0" borderId="40" xfId="0" applyFont="1" applyFill="1" applyBorder="1" applyAlignment="1" applyProtection="1">
      <alignment horizontal="left" indent="1"/>
      <protection locked="0"/>
    </xf>
    <xf numFmtId="0" fontId="24" fillId="5" borderId="18" xfId="0" applyFont="1" applyFill="1" applyBorder="1" applyAlignment="1" applyProtection="1">
      <alignment horizontal="center"/>
      <protection locked="0"/>
    </xf>
    <xf numFmtId="0" fontId="24" fillId="5" borderId="19" xfId="0" applyFont="1" applyFill="1" applyBorder="1" applyAlignment="1" applyProtection="1">
      <protection locked="0"/>
    </xf>
    <xf numFmtId="0" fontId="10" fillId="0" borderId="41" xfId="0" applyFont="1" applyFill="1" applyBorder="1" applyAlignment="1" applyProtection="1">
      <alignment horizontal="left" indent="1"/>
      <protection locked="0"/>
    </xf>
    <xf numFmtId="0" fontId="24" fillId="5" borderId="25" xfId="0" applyFont="1" applyFill="1" applyBorder="1" applyAlignment="1" applyProtection="1">
      <alignment horizontal="center"/>
      <protection locked="0"/>
    </xf>
    <xf numFmtId="0" fontId="24" fillId="5" borderId="27" xfId="0" applyFont="1" applyFill="1" applyBorder="1" applyAlignment="1" applyProtection="1">
      <protection locked="0"/>
    </xf>
    <xf numFmtId="0" fontId="10" fillId="0" borderId="73" xfId="0" applyFont="1" applyBorder="1" applyAlignment="1" applyProtection="1">
      <alignment horizontal="center" vertical="center"/>
    </xf>
    <xf numFmtId="1" fontId="10" fillId="0" borderId="39" xfId="0" applyNumberFormat="1" applyFont="1" applyBorder="1" applyAlignment="1" applyProtection="1">
      <alignment horizontal="center"/>
    </xf>
    <xf numFmtId="1" fontId="10" fillId="0" borderId="73" xfId="0" applyNumberFormat="1" applyFont="1" applyBorder="1" applyAlignment="1" applyProtection="1">
      <alignment horizontal="center"/>
    </xf>
    <xf numFmtId="0" fontId="29" fillId="0" borderId="71" xfId="0" applyFont="1" applyBorder="1" applyAlignment="1" applyProtection="1">
      <alignment horizontal="center"/>
      <protection locked="0"/>
    </xf>
    <xf numFmtId="0" fontId="16" fillId="0" borderId="39" xfId="0" applyFont="1" applyBorder="1" applyAlignment="1" applyProtection="1">
      <alignment horizontal="right" indent="1"/>
      <protection locked="0"/>
    </xf>
    <xf numFmtId="0" fontId="50" fillId="0" borderId="75" xfId="0" applyFont="1" applyBorder="1" applyProtection="1">
      <protection locked="0"/>
    </xf>
    <xf numFmtId="0" fontId="50" fillId="0" borderId="73" xfId="0" applyFont="1" applyBorder="1" applyProtection="1">
      <protection locked="0"/>
    </xf>
    <xf numFmtId="0" fontId="10" fillId="0" borderId="3" xfId="0" applyFont="1" applyBorder="1" applyAlignment="1" applyProtection="1">
      <alignment horizontal="left" indent="1"/>
      <protection locked="0"/>
    </xf>
    <xf numFmtId="0" fontId="10" fillId="0" borderId="40" xfId="0" applyFont="1" applyBorder="1" applyAlignment="1" applyProtection="1">
      <alignment horizontal="left" indent="1"/>
      <protection locked="0"/>
    </xf>
    <xf numFmtId="1" fontId="16" fillId="0" borderId="0" xfId="0" applyNumberFormat="1" applyFont="1" applyAlignment="1" applyProtection="1">
      <alignment horizontal="left" indent="1"/>
    </xf>
    <xf numFmtId="1" fontId="50" fillId="0" borderId="0" xfId="0" applyNumberFormat="1" applyFont="1" applyAlignment="1" applyProtection="1">
      <alignment horizontal="left" indent="1"/>
    </xf>
    <xf numFmtId="0" fontId="16" fillId="0" borderId="0" xfId="0" applyFont="1" applyAlignment="1" applyProtection="1">
      <alignment horizontal="left" indent="1"/>
    </xf>
    <xf numFmtId="0" fontId="9" fillId="0" borderId="73" xfId="0" applyFont="1" applyBorder="1" applyAlignment="1" applyProtection="1">
      <alignment horizontal="center" vertical="center" wrapText="1"/>
      <protection locked="0"/>
    </xf>
    <xf numFmtId="0" fontId="50" fillId="0" borderId="0" xfId="0" applyFont="1" applyBorder="1" applyAlignment="1" applyProtection="1">
      <alignment horizontal="right"/>
      <protection locked="0"/>
    </xf>
    <xf numFmtId="0" fontId="50" fillId="0" borderId="0" xfId="0" applyFont="1" applyAlignment="1" applyProtection="1">
      <protection locked="0"/>
    </xf>
    <xf numFmtId="0" fontId="10" fillId="0" borderId="0" xfId="0" applyFont="1" applyAlignment="1" applyProtection="1">
      <protection locked="0"/>
    </xf>
    <xf numFmtId="0" fontId="29" fillId="0" borderId="0" xfId="0" applyFont="1" applyAlignment="1" applyProtection="1">
      <protection locked="0"/>
    </xf>
    <xf numFmtId="0" fontId="29" fillId="0" borderId="0" xfId="0" applyFont="1" applyBorder="1" applyAlignment="1" applyProtection="1">
      <protection locked="0"/>
    </xf>
    <xf numFmtId="0" fontId="50" fillId="0" borderId="0" xfId="0" applyFont="1" applyAlignment="1" applyProtection="1">
      <alignment vertical="center" wrapText="1"/>
      <protection locked="0"/>
    </xf>
    <xf numFmtId="0" fontId="10" fillId="0" borderId="0" xfId="0" applyFont="1" applyAlignment="1" applyProtection="1">
      <alignment wrapText="1"/>
      <protection locked="0"/>
    </xf>
    <xf numFmtId="0" fontId="10" fillId="0" borderId="0" xfId="0" applyFont="1" applyAlignment="1" applyProtection="1">
      <alignment horizontal="center"/>
      <protection locked="0"/>
    </xf>
    <xf numFmtId="0" fontId="10" fillId="0" borderId="17" xfId="0" applyFont="1" applyBorder="1" applyAlignment="1" applyProtection="1">
      <alignment horizontal="right" vertical="center" indent="2"/>
    </xf>
    <xf numFmtId="0" fontId="10" fillId="0" borderId="15" xfId="0" applyFont="1" applyBorder="1" applyAlignment="1" applyProtection="1">
      <alignment horizontal="right" vertical="center" indent="2"/>
    </xf>
    <xf numFmtId="0" fontId="10" fillId="0" borderId="15" xfId="0" applyFont="1" applyBorder="1" applyAlignment="1" applyProtection="1">
      <alignment horizontal="right" indent="2"/>
    </xf>
    <xf numFmtId="0" fontId="19" fillId="0" borderId="30" xfId="0" applyFont="1" applyFill="1" applyBorder="1" applyAlignment="1" applyProtection="1">
      <alignment horizontal="left" indent="1"/>
      <protection locked="0"/>
    </xf>
    <xf numFmtId="0" fontId="19" fillId="0" borderId="31" xfId="0" applyFont="1" applyFill="1" applyBorder="1" applyAlignment="1" applyProtection="1">
      <alignment horizontal="left" indent="1"/>
      <protection locked="0"/>
    </xf>
    <xf numFmtId="0" fontId="19" fillId="0" borderId="43" xfId="0" applyFont="1" applyFill="1" applyBorder="1" applyAlignment="1" applyProtection="1">
      <alignment horizontal="left" indent="1"/>
      <protection locked="0"/>
    </xf>
    <xf numFmtId="0" fontId="24" fillId="0" borderId="0" xfId="0" applyFont="1" applyAlignment="1" applyProtection="1">
      <protection locked="0"/>
    </xf>
    <xf numFmtId="0" fontId="24" fillId="0" borderId="0" xfId="0" applyFont="1" applyBorder="1" applyAlignment="1" applyProtection="1">
      <protection locked="0"/>
    </xf>
    <xf numFmtId="0" fontId="28" fillId="0" borderId="0" xfId="0" applyFont="1" applyBorder="1" applyAlignment="1" applyProtection="1">
      <alignment horizontal="left"/>
    </xf>
    <xf numFmtId="0" fontId="10" fillId="0" borderId="0" xfId="0" applyFont="1" applyAlignment="1" applyProtection="1"/>
    <xf numFmtId="183" fontId="16" fillId="0" borderId="0" xfId="0" applyNumberFormat="1" applyFont="1" applyAlignment="1" applyProtection="1">
      <alignment horizontal="left" indent="1"/>
    </xf>
    <xf numFmtId="0" fontId="50" fillId="0" borderId="0" xfId="0" applyFont="1" applyAlignment="1" applyProtection="1">
      <alignment horizontal="left" indent="1"/>
    </xf>
    <xf numFmtId="0" fontId="49" fillId="0" borderId="60" xfId="0" applyFont="1" applyBorder="1" applyAlignment="1" applyProtection="1">
      <alignment horizontal="left" vertical="top" wrapText="1"/>
      <protection locked="0"/>
    </xf>
    <xf numFmtId="0" fontId="49" fillId="0" borderId="0" xfId="0" applyFont="1" applyBorder="1" applyAlignment="1" applyProtection="1">
      <alignment horizontal="left" vertical="top" wrapText="1"/>
      <protection locked="0"/>
    </xf>
    <xf numFmtId="0" fontId="49" fillId="0" borderId="7" xfId="0" applyFont="1" applyBorder="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49" fillId="0" borderId="0" xfId="0" applyFont="1" applyBorder="1" applyAlignment="1" applyProtection="1">
      <alignment horizontal="left" wrapText="1"/>
      <protection locked="0"/>
    </xf>
    <xf numFmtId="0" fontId="49" fillId="0" borderId="0" xfId="0" applyFont="1" applyAlignment="1" applyProtection="1">
      <alignment horizontal="left" wrapText="1"/>
      <protection locked="0"/>
    </xf>
    <xf numFmtId="0" fontId="9" fillId="0" borderId="0" xfId="0" applyFont="1" applyAlignment="1" applyProtection="1">
      <alignment horizontal="center"/>
      <protection locked="0"/>
    </xf>
    <xf numFmtId="0" fontId="10" fillId="0" borderId="0" xfId="0" applyFont="1" applyProtection="1">
      <protection locked="0"/>
    </xf>
    <xf numFmtId="0" fontId="49" fillId="0" borderId="14" xfId="0" applyFont="1" applyBorder="1" applyAlignment="1" applyProtection="1">
      <alignment vertical="center" wrapText="1"/>
      <protection locked="0"/>
    </xf>
    <xf numFmtId="0" fontId="10" fillId="0" borderId="49" xfId="0" applyFont="1" applyBorder="1" applyAlignment="1" applyProtection="1">
      <alignment wrapText="1"/>
      <protection locked="0"/>
    </xf>
    <xf numFmtId="170" fontId="9" fillId="0" borderId="0" xfId="0" applyNumberFormat="1" applyFont="1" applyAlignment="1" applyProtection="1">
      <alignment horizontal="center"/>
      <protection locked="0"/>
    </xf>
    <xf numFmtId="0" fontId="40" fillId="0" borderId="0" xfId="0" applyFont="1" applyAlignment="1" applyProtection="1">
      <alignment horizontal="center"/>
      <protection locked="0"/>
    </xf>
    <xf numFmtId="1" fontId="28" fillId="0" borderId="0" xfId="0" applyNumberFormat="1" applyFont="1" applyAlignment="1" applyProtection="1">
      <alignment horizontal="center"/>
      <protection locked="0"/>
    </xf>
    <xf numFmtId="170" fontId="10" fillId="0" borderId="0" xfId="0" applyNumberFormat="1" applyFont="1" applyAlignment="1" applyProtection="1">
      <alignment horizontal="center"/>
      <protection locked="0"/>
    </xf>
    <xf numFmtId="0" fontId="10" fillId="0" borderId="32" xfId="0" applyFont="1" applyBorder="1" applyAlignment="1" applyProtection="1">
      <alignment horizontal="left" indent="1"/>
      <protection locked="0"/>
    </xf>
    <xf numFmtId="0" fontId="10" fillId="0" borderId="29" xfId="0" applyFont="1" applyBorder="1" applyAlignment="1" applyProtection="1">
      <alignment horizontal="left" indent="1"/>
      <protection locked="0"/>
    </xf>
    <xf numFmtId="0" fontId="10" fillId="0" borderId="33" xfId="0" applyFont="1" applyBorder="1" applyAlignment="1" applyProtection="1">
      <alignment horizontal="left" indent="1"/>
      <protection locked="0"/>
    </xf>
    <xf numFmtId="0" fontId="10" fillId="0" borderId="22" xfId="0" applyFont="1" applyBorder="1" applyAlignment="1" applyProtection="1">
      <alignment horizontal="left" indent="1"/>
      <protection locked="0"/>
    </xf>
    <xf numFmtId="0" fontId="10" fillId="0" borderId="10" xfId="0" applyFont="1" applyBorder="1" applyAlignment="1" applyProtection="1">
      <alignment horizontal="left" indent="1"/>
      <protection locked="0"/>
    </xf>
    <xf numFmtId="0" fontId="10" fillId="0" borderId="23" xfId="0" applyFont="1" applyBorder="1" applyAlignment="1" applyProtection="1">
      <alignment horizontal="left" indent="1"/>
      <protection locked="0"/>
    </xf>
    <xf numFmtId="1" fontId="10" fillId="0" borderId="67" xfId="0" applyNumberFormat="1" applyFont="1" applyBorder="1" applyAlignment="1" applyProtection="1">
      <alignment horizontal="right" vertical="center" indent="2"/>
    </xf>
    <xf numFmtId="0" fontId="10" fillId="0" borderId="24" xfId="0" applyFont="1" applyBorder="1" applyAlignment="1" applyProtection="1">
      <alignment horizontal="right" vertical="center" indent="2"/>
    </xf>
    <xf numFmtId="0" fontId="10" fillId="0" borderId="0" xfId="0" applyFont="1" applyBorder="1" applyAlignment="1" applyProtection="1">
      <alignment horizontal="right" wrapText="1" indent="1"/>
      <protection locked="0"/>
    </xf>
    <xf numFmtId="0" fontId="10" fillId="0" borderId="0" xfId="0" applyFont="1" applyAlignment="1" applyProtection="1">
      <alignment horizontal="right" wrapText="1" indent="1"/>
      <protection locked="0"/>
    </xf>
    <xf numFmtId="0" fontId="28" fillId="8" borderId="39" xfId="0" applyFont="1" applyFill="1" applyBorder="1" applyAlignment="1" applyProtection="1">
      <alignment horizontal="right" indent="1"/>
      <protection locked="0"/>
    </xf>
    <xf numFmtId="0" fontId="28" fillId="8" borderId="75" xfId="0" applyFont="1" applyFill="1" applyBorder="1" applyAlignment="1" applyProtection="1">
      <alignment horizontal="right" indent="1"/>
      <protection locked="0"/>
    </xf>
    <xf numFmtId="0" fontId="28" fillId="8" borderId="73" xfId="0" applyFont="1" applyFill="1" applyBorder="1" applyAlignment="1" applyProtection="1">
      <alignment horizontal="right" indent="1"/>
      <protection locked="0"/>
    </xf>
    <xf numFmtId="0" fontId="10" fillId="0" borderId="20" xfId="0" applyFont="1" applyBorder="1" applyAlignment="1" applyProtection="1">
      <alignment horizontal="left" indent="1"/>
      <protection locked="0"/>
    </xf>
    <xf numFmtId="0" fontId="10" fillId="0" borderId="1" xfId="0" applyFont="1" applyBorder="1" applyAlignment="1" applyProtection="1">
      <alignment horizontal="left" indent="1"/>
      <protection locked="0"/>
    </xf>
    <xf numFmtId="0" fontId="10" fillId="0" borderId="21" xfId="0" applyFont="1" applyBorder="1" applyAlignment="1" applyProtection="1">
      <alignment horizontal="left" indent="1"/>
      <protection locked="0"/>
    </xf>
    <xf numFmtId="1" fontId="10" fillId="0" borderId="70" xfId="0" applyNumberFormat="1" applyFont="1" applyBorder="1" applyAlignment="1" applyProtection="1">
      <alignment horizontal="right" vertical="center" indent="2"/>
    </xf>
    <xf numFmtId="1" fontId="10" fillId="0" borderId="15" xfId="0" applyNumberFormat="1" applyFont="1" applyBorder="1" applyAlignment="1" applyProtection="1">
      <alignment horizontal="right" vertical="center" indent="2"/>
    </xf>
    <xf numFmtId="0" fontId="9" fillId="0" borderId="0" xfId="0" applyFont="1" applyBorder="1" applyAlignment="1" applyProtection="1">
      <alignment horizontal="right" indent="1"/>
      <protection locked="0"/>
    </xf>
    <xf numFmtId="0" fontId="3" fillId="0" borderId="0" xfId="0" applyFont="1" applyAlignment="1"/>
    <xf numFmtId="0" fontId="0" fillId="0" borderId="0" xfId="0" applyAlignment="1"/>
    <xf numFmtId="1" fontId="4" fillId="0" borderId="0" xfId="0" applyNumberFormat="1" applyFont="1" applyBorder="1" applyAlignment="1">
      <alignment horizontal="left"/>
    </xf>
    <xf numFmtId="0" fontId="0" fillId="0" borderId="0" xfId="0" applyAlignment="1">
      <alignment horizontal="left"/>
    </xf>
    <xf numFmtId="0" fontId="10" fillId="0" borderId="0" xfId="0" applyFont="1" applyAlignment="1">
      <alignment horizontal="right"/>
    </xf>
    <xf numFmtId="0" fontId="18" fillId="0" borderId="0" xfId="0" applyFont="1" applyBorder="1" applyAlignment="1">
      <alignment vertical="top" wrapText="1"/>
    </xf>
    <xf numFmtId="0" fontId="10" fillId="0" borderId="0" xfId="0" applyFont="1" applyBorder="1" applyAlignment="1">
      <alignment vertical="top" wrapText="1"/>
    </xf>
    <xf numFmtId="0" fontId="4" fillId="0" borderId="0" xfId="0" applyFont="1" applyFill="1" applyBorder="1" applyAlignment="1">
      <alignment vertical="top" wrapText="1"/>
    </xf>
    <xf numFmtId="0" fontId="8" fillId="0" borderId="0" xfId="0" applyFont="1" applyAlignment="1"/>
  </cellXfs>
  <cellStyles count="2">
    <cellStyle name="Hyperlink" xfId="1" builtinId="8"/>
    <cellStyle name="Normal" xfId="0" builtinId="0"/>
  </cellStyles>
  <dxfs count="8">
    <dxf>
      <fill>
        <patternFill patternType="mediumGray">
          <fgColor indexed="53"/>
          <bgColor indexed="65"/>
        </patternFill>
      </fill>
    </dxf>
    <dxf>
      <fill>
        <patternFill patternType="mediumGray">
          <fgColor indexed="10"/>
          <bgColor indexed="65"/>
        </patternFill>
      </fill>
    </dxf>
    <dxf>
      <fill>
        <patternFill patternType="mediumGray">
          <fgColor indexed="50"/>
          <bgColor indexed="65"/>
        </patternFill>
      </fill>
    </dxf>
    <dxf>
      <fill>
        <patternFill patternType="mediumGray">
          <fgColor indexed="10"/>
          <bgColor indexed="65"/>
        </patternFill>
      </fill>
    </dxf>
    <dxf>
      <fill>
        <patternFill patternType="mediumGray">
          <fgColor indexed="50"/>
          <bgColor indexed="65"/>
        </patternFill>
      </fill>
    </dxf>
    <dxf>
      <fill>
        <patternFill patternType="mediumGray">
          <fgColor indexed="50"/>
        </patternFill>
      </fill>
    </dxf>
    <dxf>
      <fill>
        <patternFill patternType="mediumGray">
          <fgColor indexed="53"/>
        </patternFill>
      </fill>
    </dxf>
    <dxf>
      <fill>
        <patternFill patternType="mediumGray">
          <fgColor indexed="10"/>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530169084948826"/>
          <c:y val="0.18253985938648951"/>
          <c:w val="0.3579414434539252"/>
          <c:h val="0.63492125003996358"/>
        </c:manualLayout>
      </c:layout>
      <c:pieChart>
        <c:varyColors val="1"/>
        <c:ser>
          <c:idx val="0"/>
          <c:order val="0"/>
          <c:spPr>
            <a:solidFill>
              <a:srgbClr val="9999FF"/>
            </a:solidFill>
            <a:ln w="12700">
              <a:solidFill>
                <a:srgbClr val="000000"/>
              </a:solidFill>
              <a:prstDash val="solid"/>
            </a:ln>
          </c:spPr>
          <c:explosion val="15"/>
          <c:dPt>
            <c:idx val="0"/>
            <c:bubble3D val="0"/>
            <c:spPr>
              <a:solidFill>
                <a:srgbClr val="FF6600"/>
              </a:solidFill>
              <a:ln w="12700">
                <a:solidFill>
                  <a:srgbClr val="000000"/>
                </a:solidFill>
                <a:prstDash val="solid"/>
              </a:ln>
            </c:spPr>
            <c:extLst>
              <c:ext xmlns:c16="http://schemas.microsoft.com/office/drawing/2014/chart" uri="{C3380CC4-5D6E-409C-BE32-E72D297353CC}">
                <c16:uniqueId val="{00000000-7FFD-47CF-83B2-721D9CB45AF6}"/>
              </c:ext>
            </c:extLst>
          </c:dPt>
          <c:dPt>
            <c:idx val="1"/>
            <c:bubble3D val="0"/>
            <c:spPr>
              <a:solidFill>
                <a:srgbClr val="FCF305"/>
              </a:solidFill>
              <a:ln w="12700">
                <a:solidFill>
                  <a:srgbClr val="000000"/>
                </a:solidFill>
                <a:prstDash val="solid"/>
              </a:ln>
            </c:spPr>
            <c:extLst>
              <c:ext xmlns:c16="http://schemas.microsoft.com/office/drawing/2014/chart" uri="{C3380CC4-5D6E-409C-BE32-E72D297353CC}">
                <c16:uniqueId val="{00000001-7FFD-47CF-83B2-721D9CB45AF6}"/>
              </c:ext>
            </c:extLst>
          </c:dPt>
          <c:dPt>
            <c:idx val="2"/>
            <c:bubble3D val="0"/>
            <c:spPr>
              <a:solidFill>
                <a:srgbClr val="DD0806"/>
              </a:solidFill>
              <a:ln w="12700">
                <a:solidFill>
                  <a:srgbClr val="000000"/>
                </a:solidFill>
                <a:prstDash val="solid"/>
              </a:ln>
            </c:spPr>
            <c:extLst>
              <c:ext xmlns:c16="http://schemas.microsoft.com/office/drawing/2014/chart" uri="{C3380CC4-5D6E-409C-BE32-E72D297353CC}">
                <c16:uniqueId val="{00000002-7FFD-47CF-83B2-721D9CB45AF6}"/>
              </c:ext>
            </c:extLst>
          </c:dPt>
          <c:dPt>
            <c:idx val="3"/>
            <c:bubble3D val="0"/>
            <c:spPr>
              <a:solidFill>
                <a:srgbClr val="0000D4"/>
              </a:solidFill>
              <a:ln w="12700">
                <a:solidFill>
                  <a:srgbClr val="000000"/>
                </a:solidFill>
                <a:prstDash val="solid"/>
              </a:ln>
            </c:spPr>
            <c:extLst>
              <c:ext xmlns:c16="http://schemas.microsoft.com/office/drawing/2014/chart" uri="{C3380CC4-5D6E-409C-BE32-E72D297353CC}">
                <c16:uniqueId val="{00000003-7FFD-47CF-83B2-721D9CB45AF6}"/>
              </c:ext>
            </c:extLst>
          </c:dPt>
          <c:dPt>
            <c:idx val="4"/>
            <c:bubble3D val="0"/>
            <c:spPr>
              <a:solidFill>
                <a:srgbClr val="1FB714"/>
              </a:solidFill>
              <a:ln w="12700">
                <a:solidFill>
                  <a:srgbClr val="000000"/>
                </a:solidFill>
                <a:prstDash val="solid"/>
              </a:ln>
            </c:spPr>
            <c:extLst>
              <c:ext xmlns:c16="http://schemas.microsoft.com/office/drawing/2014/chart" uri="{C3380CC4-5D6E-409C-BE32-E72D297353CC}">
                <c16:uniqueId val="{00000004-7FFD-47CF-83B2-721D9CB45AF6}"/>
              </c:ext>
            </c:extLst>
          </c:dPt>
          <c:dPt>
            <c:idx val="5"/>
            <c:bubble3D val="0"/>
            <c:spPr>
              <a:solidFill>
                <a:srgbClr val="90713A"/>
              </a:solidFill>
              <a:ln w="12700">
                <a:solidFill>
                  <a:srgbClr val="000000"/>
                </a:solidFill>
                <a:prstDash val="solid"/>
              </a:ln>
            </c:spPr>
            <c:extLst>
              <c:ext xmlns:c16="http://schemas.microsoft.com/office/drawing/2014/chart" uri="{C3380CC4-5D6E-409C-BE32-E72D297353CC}">
                <c16:uniqueId val="{00000005-7FFD-47CF-83B2-721D9CB45AF6}"/>
              </c:ext>
            </c:extLst>
          </c:dPt>
          <c:dPt>
            <c:idx val="6"/>
            <c:bubble3D val="0"/>
            <c:spPr>
              <a:solidFill>
                <a:srgbClr val="000000"/>
              </a:solidFill>
              <a:ln w="12700">
                <a:solidFill>
                  <a:srgbClr val="000000"/>
                </a:solidFill>
                <a:prstDash val="solid"/>
              </a:ln>
            </c:spPr>
            <c:extLst>
              <c:ext xmlns:c16="http://schemas.microsoft.com/office/drawing/2014/chart" uri="{C3380CC4-5D6E-409C-BE32-E72D297353CC}">
                <c16:uniqueId val="{00000006-7FFD-47CF-83B2-721D9CB45AF6}"/>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7-7FFD-47CF-83B2-721D9CB45AF6}"/>
              </c:ext>
            </c:extLst>
          </c:dPt>
          <c:dPt>
            <c:idx val="8"/>
            <c:bubble3D val="0"/>
            <c:spPr>
              <a:solidFill>
                <a:srgbClr val="000090"/>
              </a:solidFill>
              <a:ln w="12700">
                <a:solidFill>
                  <a:srgbClr val="000000"/>
                </a:solidFill>
                <a:prstDash val="solid"/>
              </a:ln>
            </c:spPr>
            <c:extLst>
              <c:ext xmlns:c16="http://schemas.microsoft.com/office/drawing/2014/chart" uri="{C3380CC4-5D6E-409C-BE32-E72D297353CC}">
                <c16:uniqueId val="{00000008-7FFD-47CF-83B2-721D9CB45AF6}"/>
              </c:ext>
            </c:extLst>
          </c:dPt>
          <c:dLbls>
            <c:dLbl>
              <c:idx val="0"/>
              <c:layout>
                <c:manualLayout>
                  <c:x val="5.6056698576052366E-3"/>
                  <c:y val="-1.7377982246601205E-2"/>
                </c:manualLayout>
              </c:layout>
              <c:spPr>
                <a:noFill/>
                <a:ln w="25400">
                  <a:noFill/>
                </a:ln>
              </c:spPr>
              <c:txPr>
                <a:bodyPr/>
                <a:lstStyle/>
                <a:p>
                  <a:pPr algn="ctr" rtl="0">
                    <a:defRPr sz="12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FD-47CF-83B2-721D9CB45AF6}"/>
                </c:ext>
              </c:extLst>
            </c:dLbl>
            <c:dLbl>
              <c:idx val="1"/>
              <c:layout>
                <c:manualLayout>
                  <c:x val="1.1972323602211447E-2"/>
                  <c:y val="1.1424695508567128E-3"/>
                </c:manualLayout>
              </c:layout>
              <c:spPr>
                <a:noFill/>
                <a:ln w="25400">
                  <a:noFill/>
                </a:ln>
              </c:spPr>
              <c:txPr>
                <a:bodyPr/>
                <a:lstStyle/>
                <a:p>
                  <a:pPr algn="ctr" rtl="0">
                    <a:defRPr sz="12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FD-47CF-83B2-721D9CB45AF6}"/>
                </c:ext>
              </c:extLst>
            </c:dLbl>
            <c:dLbl>
              <c:idx val="2"/>
              <c:layout>
                <c:manualLayout>
                  <c:x val="2.5145942749855536E-2"/>
                  <c:y val="-9.155415966262645E-2"/>
                </c:manualLayout>
              </c:layout>
              <c:spPr>
                <a:noFill/>
                <a:ln w="25400">
                  <a:noFill/>
                </a:ln>
              </c:spPr>
              <c:txPr>
                <a:bodyPr/>
                <a:lstStyle/>
                <a:p>
                  <a:pPr algn="ctr" rtl="0">
                    <a:defRPr sz="12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FD-47CF-83B2-721D9CB45AF6}"/>
                </c:ext>
              </c:extLst>
            </c:dLbl>
            <c:dLbl>
              <c:idx val="3"/>
              <c:layout>
                <c:manualLayout>
                  <c:x val="-4.9349838350233037E-2"/>
                  <c:y val="-4.9419328201952287E-2"/>
                </c:manualLayout>
              </c:layout>
              <c:spPr>
                <a:noFill/>
                <a:ln w="25400">
                  <a:noFill/>
                </a:ln>
              </c:spPr>
              <c:txPr>
                <a:bodyPr/>
                <a:lstStyle/>
                <a:p>
                  <a:pPr algn="ctr" rtl="0">
                    <a:defRPr sz="12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FD-47CF-83B2-721D9CB45AF6}"/>
                </c:ext>
              </c:extLst>
            </c:dLbl>
            <c:dLbl>
              <c:idx val="4"/>
              <c:layout>
                <c:manualLayout>
                  <c:x val="0.10434140217960393"/>
                  <c:y val="5.0939278657583459E-3"/>
                </c:manualLayout>
              </c:layout>
              <c:spPr>
                <a:noFill/>
                <a:ln w="25400">
                  <a:noFill/>
                </a:ln>
              </c:spPr>
              <c:txPr>
                <a:bodyPr/>
                <a:lstStyle/>
                <a:p>
                  <a:pPr algn="ctr" rtl="0">
                    <a:defRPr sz="12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FD-47CF-83B2-721D9CB45AF6}"/>
                </c:ext>
              </c:extLst>
            </c:dLbl>
            <c:dLbl>
              <c:idx val="5"/>
              <c:spPr>
                <a:noFill/>
                <a:ln w="25400">
                  <a:noFill/>
                </a:ln>
              </c:spPr>
              <c:txPr>
                <a:bodyPr/>
                <a:lstStyle/>
                <a:p>
                  <a:pPr algn="ctr" rtl="0">
                    <a:defRPr sz="12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FD-47CF-83B2-721D9CB45AF6}"/>
                </c:ext>
              </c:extLst>
            </c:dLbl>
            <c:dLbl>
              <c:idx val="6"/>
              <c:spPr>
                <a:noFill/>
                <a:ln w="25400">
                  <a:noFill/>
                </a:ln>
              </c:spPr>
              <c:txPr>
                <a:bodyPr/>
                <a:lstStyle/>
                <a:p>
                  <a:pPr algn="ctr" rtl="0">
                    <a:defRPr sz="12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FD-47CF-83B2-721D9CB45AF6}"/>
                </c:ext>
              </c:extLst>
            </c:dLbl>
            <c:dLbl>
              <c:idx val="8"/>
              <c:layout>
                <c:manualLayout>
                  <c:x val="-8.1463377984076116E-2"/>
                  <c:y val="-4.0992361909817449E-2"/>
                </c:manualLayout>
              </c:layout>
              <c:spPr>
                <a:noFill/>
                <a:ln w="25400">
                  <a:noFill/>
                </a:ln>
              </c:spPr>
              <c:txPr>
                <a:bodyPr/>
                <a:lstStyle/>
                <a:p>
                  <a:pPr algn="ctr" rtl="0">
                    <a:defRPr sz="12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FFD-47CF-83B2-721D9CB45AF6}"/>
                </c:ext>
              </c:extLst>
            </c:dLbl>
            <c:dLbl>
              <c:idx val="9"/>
              <c:layout>
                <c:manualLayout>
                  <c:xMode val="edge"/>
                  <c:yMode val="edge"/>
                  <c:x val="0.25478974869370491"/>
                  <c:y val="9.8314606741573038E-2"/>
                </c:manualLayout>
              </c:layout>
              <c:spPr>
                <a:noFill/>
                <a:ln w="25400">
                  <a:noFill/>
                </a:ln>
              </c:spPr>
              <c:txPr>
                <a:bodyPr/>
                <a:lstStyle/>
                <a:p>
                  <a:pPr algn="ctr" rtl="0">
                    <a:defRPr sz="12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FFD-47CF-83B2-721D9CB45AF6}"/>
                </c:ext>
              </c:extLst>
            </c:dLbl>
            <c:dLbl>
              <c:idx val="12"/>
              <c:layout>
                <c:manualLayout>
                  <c:xMode val="edge"/>
                  <c:yMode val="edge"/>
                  <c:x val="0.40613102799297324"/>
                  <c:y val="0.9859550561797753"/>
                </c:manualLayout>
              </c:layout>
              <c:spPr>
                <a:noFill/>
                <a:ln w="25400">
                  <a:noFill/>
                </a:ln>
              </c:spPr>
              <c:txPr>
                <a:bodyPr/>
                <a:lstStyle/>
                <a:p>
                  <a:pPr algn="ctr" rtl="0">
                    <a:defRPr sz="10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FFD-47CF-83B2-721D9CB45AF6}"/>
                </c:ext>
              </c:extLst>
            </c:dLbl>
            <c:spPr>
              <a:noFill/>
              <a:ln w="25400">
                <a:noFill/>
              </a:ln>
            </c:spPr>
            <c:txPr>
              <a:bodyPr wrap="square" lIns="38100" tIns="19050" rIns="38100" bIns="19050" anchor="ctr">
                <a:spAutoFit/>
              </a:bodyPr>
              <a:lstStyle/>
              <a:p>
                <a:pPr algn="ctr" rtl="0">
                  <a:defRPr sz="12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strRef>
              <c:f>'qde calcs'!$A$24:$A$32</c:f>
              <c:strCache>
                <c:ptCount val="9"/>
                <c:pt idx="0">
                  <c:v>lighting and appliances</c:v>
                </c:pt>
                <c:pt idx="1">
                  <c:v>heating</c:v>
                </c:pt>
                <c:pt idx="2">
                  <c:v>commuting</c:v>
                </c:pt>
                <c:pt idx="3">
                  <c:v>social travel</c:v>
                </c:pt>
                <c:pt idx="4">
                  <c:v>car ownership</c:v>
                </c:pt>
                <c:pt idx="5">
                  <c:v>flights</c:v>
                </c:pt>
                <c:pt idx="6">
                  <c:v>food</c:v>
                </c:pt>
                <c:pt idx="7">
                  <c:v>pets</c:v>
                </c:pt>
                <c:pt idx="8">
                  <c:v>spending</c:v>
                </c:pt>
              </c:strCache>
            </c:strRef>
          </c:cat>
          <c:val>
            <c:numRef>
              <c:f>'qde calcs'!$B$24:$B$32</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B-7FFD-47CF-83B2-721D9CB45AF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2"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72998653264858"/>
          <c:y val="8.9820556247126412E-2"/>
          <c:w val="0.84865032856774292"/>
          <c:h val="0.5688635228984672"/>
        </c:manualLayout>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9900"/>
              </a:solidFill>
              <a:ln w="12700">
                <a:solidFill>
                  <a:srgbClr val="000000"/>
                </a:solidFill>
                <a:prstDash val="solid"/>
              </a:ln>
            </c:spPr>
            <c:extLst>
              <c:ext xmlns:c16="http://schemas.microsoft.com/office/drawing/2014/chart" uri="{C3380CC4-5D6E-409C-BE32-E72D297353CC}">
                <c16:uniqueId val="{00000000-6FB3-4B85-A054-90B7C9D0B97E}"/>
              </c:ext>
            </c:extLst>
          </c:dPt>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6FB3-4B85-A054-90B7C9D0B97E}"/>
              </c:ext>
            </c:extLst>
          </c:dPt>
          <c:dPt>
            <c:idx val="2"/>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2-6FB3-4B85-A054-90B7C9D0B97E}"/>
              </c:ext>
            </c:extLst>
          </c:dPt>
          <c:dLbls>
            <c:spPr>
              <a:noFill/>
              <a:ln w="25400">
                <a:noFill/>
              </a:ln>
            </c:spPr>
            <c:txPr>
              <a:bodyPr wrap="square" lIns="38100" tIns="19050" rIns="38100" bIns="19050" anchor="ctr">
                <a:spAutoFit/>
              </a:bodyPr>
              <a:lstStyle/>
              <a:p>
                <a:pPr algn="ctr" rtl="0">
                  <a:defRPr sz="9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'qde calcs'!$A$36:$A$39</c:f>
              <c:strCache>
                <c:ptCount val="4"/>
                <c:pt idx="0">
                  <c:v>You</c:v>
                </c:pt>
                <c:pt idx="1">
                  <c:v>UK average</c:v>
                </c:pt>
                <c:pt idx="2">
                  <c:v>Global</c:v>
                </c:pt>
                <c:pt idx="3">
                  <c:v>2050 target</c:v>
                </c:pt>
              </c:strCache>
            </c:strRef>
          </c:cat>
          <c:val>
            <c:numRef>
              <c:f>'qde calcs'!$B$36:$B$39</c:f>
              <c:numCache>
                <c:formatCode>0.00</c:formatCode>
                <c:ptCount val="4"/>
                <c:pt idx="0">
                  <c:v>0</c:v>
                </c:pt>
                <c:pt idx="1">
                  <c:v>12.5</c:v>
                </c:pt>
                <c:pt idx="2">
                  <c:v>5.5</c:v>
                </c:pt>
                <c:pt idx="3">
                  <c:v>2.5</c:v>
                </c:pt>
              </c:numCache>
            </c:numRef>
          </c:val>
          <c:extLst>
            <c:ext xmlns:c16="http://schemas.microsoft.com/office/drawing/2014/chart" uri="{C3380CC4-5D6E-409C-BE32-E72D297353CC}">
              <c16:uniqueId val="{00000003-6FB3-4B85-A054-90B7C9D0B97E}"/>
            </c:ext>
          </c:extLst>
        </c:ser>
        <c:dLbls>
          <c:showLegendKey val="0"/>
          <c:showVal val="0"/>
          <c:showCatName val="0"/>
          <c:showSerName val="0"/>
          <c:showPercent val="0"/>
          <c:showBubbleSize val="0"/>
        </c:dLbls>
        <c:gapWidth val="150"/>
        <c:axId val="397867888"/>
        <c:axId val="1"/>
      </c:barChart>
      <c:catAx>
        <c:axId val="397867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1"/>
        <c:axPos val="l"/>
        <c:numFmt formatCode="0.00" sourceLinked="1"/>
        <c:majorTickMark val="out"/>
        <c:minorTickMark val="none"/>
        <c:tickLblPos val="nextTo"/>
        <c:crossAx val="39786788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2"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101600</xdr:colOff>
      <xdr:row>31</xdr:row>
      <xdr:rowOff>25400</xdr:rowOff>
    </xdr:from>
    <xdr:to>
      <xdr:col>6</xdr:col>
      <xdr:colOff>12700</xdr:colOff>
      <xdr:row>50</xdr:row>
      <xdr:rowOff>254000</xdr:rowOff>
    </xdr:to>
    <xdr:graphicFrame macro="">
      <xdr:nvGraphicFramePr>
        <xdr:cNvPr id="1227" name="Chart 32">
          <a:extLst>
            <a:ext uri="{FF2B5EF4-FFF2-40B4-BE49-F238E27FC236}">
              <a16:creationId xmlns:a16="http://schemas.microsoft.com/office/drawing/2014/main" id="{47422504-60EF-4533-AD2B-E11C3073B4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57150</xdr:colOff>
      <xdr:row>38</xdr:row>
      <xdr:rowOff>146050</xdr:rowOff>
    </xdr:from>
    <xdr:to>
      <xdr:col>8</xdr:col>
      <xdr:colOff>736600</xdr:colOff>
      <xdr:row>51</xdr:row>
      <xdr:rowOff>63500</xdr:rowOff>
    </xdr:to>
    <xdr:graphicFrame macro="">
      <xdr:nvGraphicFramePr>
        <xdr:cNvPr id="1228" name="Chart 111">
          <a:extLst>
            <a:ext uri="{FF2B5EF4-FFF2-40B4-BE49-F238E27FC236}">
              <a16:creationId xmlns:a16="http://schemas.microsoft.com/office/drawing/2014/main" id="{4BB4F3AF-FC6D-4687-835F-114A779A0E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584200</xdr:colOff>
      <xdr:row>65</xdr:row>
      <xdr:rowOff>266700</xdr:rowOff>
    </xdr:from>
    <xdr:to>
      <xdr:col>8</xdr:col>
      <xdr:colOff>819150</xdr:colOff>
      <xdr:row>66</xdr:row>
      <xdr:rowOff>241300</xdr:rowOff>
    </xdr:to>
    <xdr:pic>
      <xdr:nvPicPr>
        <xdr:cNvPr id="1229" name="Picture 115" descr="by-nc-sa">
          <a:extLst>
            <a:ext uri="{FF2B5EF4-FFF2-40B4-BE49-F238E27FC236}">
              <a16:creationId xmlns:a16="http://schemas.microsoft.com/office/drawing/2014/main" id="{216227B0-877E-42DE-94D3-09EB55BEE62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02400" y="12630150"/>
          <a:ext cx="10858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bigcleanswitch.or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vcacarfueldata.org.uk/" TargetMode="External"/><Relationship Id="rId2" Type="http://schemas.openxmlformats.org/officeDocument/2006/relationships/hyperlink" Target="http://www.vcacarfueldata.org.uk/" TargetMode="External"/><Relationship Id="rId1" Type="http://schemas.openxmlformats.org/officeDocument/2006/relationships/hyperlink" Target="http://www.vcacarfueldata.org.u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www.webflyer.com/travel/mileage_calculator/"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O65"/>
  <sheetViews>
    <sheetView showGridLines="0" tabSelected="1" zoomScale="120" zoomScaleNormal="120" workbookViewId="0">
      <selection activeCell="O54" sqref="O54"/>
    </sheetView>
  </sheetViews>
  <sheetFormatPr defaultColWidth="9.1796875" defaultRowHeight="12.5"/>
  <cols>
    <col min="1" max="1" width="11.453125" style="239" customWidth="1"/>
    <col min="2" max="2" width="15.6328125" style="239" customWidth="1"/>
    <col min="3" max="3" width="9" style="239" customWidth="1"/>
    <col min="4" max="4" width="12.453125" style="239" customWidth="1"/>
    <col min="5" max="5" width="24.453125" style="239" customWidth="1"/>
    <col min="6" max="6" width="23.6328125" style="239" customWidth="1"/>
    <col min="7" max="8" width="9.1796875" style="239" hidden="1" customWidth="1"/>
    <col min="9" max="16384" width="9.1796875" style="239"/>
  </cols>
  <sheetData>
    <row r="1" spans="1:12" ht="23">
      <c r="A1" s="628" t="s">
        <v>341</v>
      </c>
      <c r="B1" s="629"/>
      <c r="C1" s="629"/>
      <c r="D1" s="629"/>
      <c r="E1" s="629"/>
      <c r="F1" s="629"/>
    </row>
    <row r="2" spans="1:12" ht="7.5" customHeight="1">
      <c r="A2" s="484"/>
      <c r="B2" s="485"/>
      <c r="C2" s="485"/>
      <c r="D2" s="485"/>
      <c r="E2" s="485"/>
      <c r="F2" s="485"/>
    </row>
    <row r="3" spans="1:12" ht="16.5">
      <c r="A3" s="630" t="s">
        <v>244</v>
      </c>
      <c r="B3" s="631"/>
      <c r="C3" s="631"/>
      <c r="D3" s="631"/>
      <c r="E3" s="631"/>
      <c r="F3" s="631"/>
    </row>
    <row r="4" spans="1:12" ht="7.5" customHeight="1">
      <c r="A4" s="242"/>
      <c r="B4" s="243"/>
      <c r="C4" s="243"/>
      <c r="D4" s="243"/>
      <c r="E4" s="243"/>
      <c r="F4" s="243"/>
    </row>
    <row r="5" spans="1:12" ht="14.25" customHeight="1" thickBot="1">
      <c r="A5" s="486" t="s">
        <v>339</v>
      </c>
    </row>
    <row r="6" spans="1:12" ht="15.75" customHeight="1">
      <c r="A6" s="634" t="s">
        <v>712</v>
      </c>
      <c r="B6" s="635"/>
      <c r="C6" s="635"/>
      <c r="D6" s="636"/>
      <c r="E6" s="637"/>
      <c r="F6" s="638"/>
    </row>
    <row r="7" spans="1:12" ht="15.75" customHeight="1">
      <c r="A7" s="639" t="s">
        <v>713</v>
      </c>
      <c r="B7" s="640"/>
      <c r="C7" s="640"/>
      <c r="D7" s="641"/>
      <c r="E7" s="642"/>
      <c r="F7" s="643"/>
      <c r="G7" s="240"/>
      <c r="H7" s="240"/>
      <c r="I7" s="240"/>
      <c r="J7" s="240"/>
      <c r="K7" s="240"/>
      <c r="L7" s="240"/>
    </row>
    <row r="8" spans="1:12" ht="15.75" customHeight="1">
      <c r="A8" s="644" t="s">
        <v>400</v>
      </c>
      <c r="B8" s="645"/>
      <c r="C8" s="645"/>
      <c r="D8" s="646"/>
      <c r="E8" s="672"/>
      <c r="F8" s="673"/>
      <c r="G8" s="240"/>
      <c r="H8" s="240"/>
      <c r="I8" s="240"/>
      <c r="J8" s="240"/>
      <c r="K8" s="240"/>
      <c r="L8" s="240"/>
    </row>
    <row r="9" spans="1:12" ht="15.75" customHeight="1" thickBot="1">
      <c r="A9" s="647" t="s">
        <v>724</v>
      </c>
      <c r="B9" s="648"/>
      <c r="C9" s="648"/>
      <c r="D9" s="649"/>
      <c r="E9" s="670" t="s">
        <v>503</v>
      </c>
      <c r="F9" s="671"/>
      <c r="G9" s="240"/>
      <c r="H9" s="241"/>
      <c r="I9" s="240"/>
      <c r="J9" s="240"/>
      <c r="K9" s="240"/>
      <c r="L9" s="240"/>
    </row>
    <row r="10" spans="1:12" ht="8.25" customHeight="1">
      <c r="A10" s="487"/>
      <c r="B10" s="487"/>
      <c r="C10" s="487"/>
      <c r="D10" s="487"/>
      <c r="E10" s="488"/>
      <c r="F10" s="488"/>
      <c r="G10" s="240"/>
      <c r="H10" s="241"/>
      <c r="I10" s="240"/>
      <c r="J10" s="240"/>
      <c r="K10" s="240"/>
      <c r="L10" s="240"/>
    </row>
    <row r="11" spans="1:12" ht="19.5" customHeight="1" thickBot="1">
      <c r="A11" s="682" t="s">
        <v>212</v>
      </c>
      <c r="B11" s="683"/>
      <c r="C11" s="683"/>
      <c r="D11" s="683"/>
      <c r="E11" s="683"/>
      <c r="F11" s="683"/>
      <c r="G11" s="240"/>
      <c r="H11" s="241"/>
      <c r="I11" s="240"/>
      <c r="J11" s="240"/>
      <c r="K11" s="240"/>
      <c r="L11" s="240"/>
    </row>
    <row r="12" spans="1:12" ht="15.75" customHeight="1">
      <c r="A12" s="634" t="s">
        <v>247</v>
      </c>
      <c r="B12" s="635"/>
      <c r="C12" s="635"/>
      <c r="D12" s="635"/>
      <c r="E12" s="636"/>
      <c r="F12" s="489"/>
      <c r="G12" s="240"/>
      <c r="H12" s="240"/>
      <c r="I12" s="240"/>
      <c r="J12" s="240"/>
      <c r="K12" s="240"/>
      <c r="L12" s="240"/>
    </row>
    <row r="13" spans="1:12" ht="15.75" customHeight="1" thickBot="1">
      <c r="A13" s="639" t="s">
        <v>725</v>
      </c>
      <c r="B13" s="640"/>
      <c r="C13" s="640"/>
      <c r="D13" s="640"/>
      <c r="E13" s="641"/>
      <c r="F13" s="490"/>
      <c r="G13" s="240"/>
      <c r="H13" s="240"/>
      <c r="I13" s="240"/>
      <c r="J13" s="240"/>
      <c r="K13" s="240"/>
      <c r="L13" s="240"/>
    </row>
    <row r="14" spans="1:12" ht="12" customHeight="1">
      <c r="A14" s="268"/>
      <c r="B14" s="268"/>
      <c r="C14" s="268"/>
      <c r="D14" s="268"/>
      <c r="E14" s="240"/>
      <c r="F14" s="240"/>
      <c r="G14" s="240"/>
      <c r="H14" s="240"/>
      <c r="I14" s="240"/>
      <c r="J14" s="240"/>
      <c r="K14" s="240"/>
      <c r="L14" s="240"/>
    </row>
    <row r="15" spans="1:12" ht="62.25" customHeight="1" thickBot="1">
      <c r="A15" s="684" t="s">
        <v>726</v>
      </c>
      <c r="B15" s="685"/>
      <c r="C15" s="685"/>
      <c r="D15" s="685"/>
      <c r="E15" s="685"/>
      <c r="F15" s="685"/>
      <c r="G15" s="240"/>
      <c r="H15" s="240"/>
      <c r="I15" s="240"/>
      <c r="J15" s="240"/>
      <c r="K15" s="240"/>
      <c r="L15" s="240"/>
    </row>
    <row r="16" spans="1:12" ht="15.75" customHeight="1" thickBot="1">
      <c r="A16" s="634" t="s">
        <v>552</v>
      </c>
      <c r="B16" s="635"/>
      <c r="C16" s="635"/>
      <c r="D16" s="635"/>
      <c r="E16" s="636"/>
      <c r="F16" s="489">
        <v>0</v>
      </c>
      <c r="G16" s="240"/>
      <c r="H16" s="240"/>
      <c r="I16" s="240"/>
      <c r="J16" s="240"/>
      <c r="K16" s="240"/>
      <c r="L16" s="240"/>
    </row>
    <row r="17" spans="1:12" ht="9.75" customHeight="1">
      <c r="A17" s="677"/>
      <c r="B17" s="678"/>
      <c r="C17" s="678"/>
      <c r="D17" s="678"/>
      <c r="E17" s="678"/>
      <c r="F17" s="678"/>
      <c r="G17" s="240"/>
      <c r="H17" s="240"/>
      <c r="I17" s="240"/>
      <c r="J17" s="240"/>
      <c r="K17" s="240"/>
      <c r="L17" s="240"/>
    </row>
    <row r="18" spans="1:12" ht="15.75" customHeight="1" thickBot="1">
      <c r="A18" s="679" t="s">
        <v>549</v>
      </c>
      <c r="B18" s="680"/>
      <c r="C18" s="680"/>
      <c r="D18" s="680"/>
      <c r="E18" s="680"/>
      <c r="F18" s="681"/>
      <c r="G18" s="240"/>
      <c r="H18" s="240"/>
      <c r="I18" s="240"/>
      <c r="J18" s="240"/>
      <c r="K18" s="240"/>
      <c r="L18" s="240"/>
    </row>
    <row r="19" spans="1:12" ht="15.75" customHeight="1">
      <c r="A19" s="639" t="s">
        <v>245</v>
      </c>
      <c r="B19" s="640"/>
      <c r="C19" s="640"/>
      <c r="D19" s="640"/>
      <c r="E19" s="641"/>
      <c r="F19" s="489"/>
      <c r="G19" s="240"/>
      <c r="H19" s="240" t="s">
        <v>503</v>
      </c>
      <c r="I19" s="240"/>
      <c r="J19" s="240"/>
      <c r="K19" s="240"/>
      <c r="L19" s="240"/>
    </row>
    <row r="20" spans="1:12" ht="15.75" customHeight="1">
      <c r="A20" s="639" t="s">
        <v>263</v>
      </c>
      <c r="B20" s="640"/>
      <c r="C20" s="640"/>
      <c r="D20" s="640"/>
      <c r="E20" s="641"/>
      <c r="F20" s="491"/>
      <c r="G20" s="240"/>
      <c r="H20" s="240" t="s">
        <v>550</v>
      </c>
      <c r="I20" s="240"/>
      <c r="J20" s="240"/>
      <c r="K20" s="240"/>
      <c r="L20" s="240"/>
    </row>
    <row r="21" spans="1:12" ht="15.75" customHeight="1" thickBot="1">
      <c r="A21" s="674" t="s">
        <v>246</v>
      </c>
      <c r="B21" s="675"/>
      <c r="C21" s="675"/>
      <c r="D21" s="675"/>
      <c r="E21" s="676"/>
      <c r="F21" s="492"/>
      <c r="G21" s="240"/>
      <c r="H21" s="240" t="s">
        <v>551</v>
      </c>
      <c r="I21" s="240"/>
      <c r="J21" s="240"/>
      <c r="K21" s="240"/>
      <c r="L21" s="240"/>
    </row>
    <row r="22" spans="1:12" ht="9.75" customHeight="1">
      <c r="A22" s="493"/>
      <c r="B22" s="457"/>
      <c r="C22" s="457"/>
      <c r="D22" s="457"/>
      <c r="E22" s="457"/>
      <c r="F22" s="457"/>
      <c r="G22" s="240"/>
      <c r="H22" s="240"/>
      <c r="I22" s="240"/>
      <c r="J22" s="240"/>
      <c r="K22" s="240"/>
      <c r="L22" s="240"/>
    </row>
    <row r="23" spans="1:12" ht="16.5">
      <c r="A23" s="630" t="s">
        <v>248</v>
      </c>
      <c r="B23" s="631"/>
      <c r="C23" s="631"/>
      <c r="D23" s="631"/>
      <c r="E23" s="631"/>
      <c r="F23" s="631"/>
      <c r="G23" s="240"/>
      <c r="H23" s="240"/>
      <c r="I23" s="240"/>
      <c r="J23" s="240"/>
      <c r="K23" s="240"/>
      <c r="L23" s="240"/>
    </row>
    <row r="24" spans="1:12" ht="3" customHeight="1">
      <c r="A24" s="242"/>
      <c r="B24" s="243"/>
      <c r="C24" s="243"/>
      <c r="D24" s="243"/>
      <c r="E24" s="243"/>
      <c r="F24" s="243"/>
      <c r="G24" s="240"/>
      <c r="H24" s="240"/>
      <c r="I24" s="240"/>
      <c r="J24" s="240"/>
      <c r="K24" s="240"/>
      <c r="L24" s="240"/>
    </row>
    <row r="25" spans="1:12" s="246" customFormat="1" ht="15.75" customHeight="1">
      <c r="A25" s="632" t="s">
        <v>282</v>
      </c>
      <c r="B25" s="633"/>
      <c r="C25" s="633"/>
      <c r="D25" s="633"/>
      <c r="E25" s="633"/>
      <c r="F25" s="633"/>
    </row>
    <row r="26" spans="1:12" s="246" customFormat="1" ht="4.5" customHeight="1">
      <c r="A26" s="244"/>
      <c r="B26" s="245"/>
      <c r="C26" s="245"/>
      <c r="D26" s="245"/>
      <c r="E26" s="245"/>
      <c r="F26" s="245"/>
    </row>
    <row r="27" spans="1:12" ht="13">
      <c r="A27" s="278" t="s">
        <v>269</v>
      </c>
    </row>
    <row r="28" spans="1:12">
      <c r="A28" s="277" t="s">
        <v>265</v>
      </c>
    </row>
    <row r="29" spans="1:12">
      <c r="A29" s="277" t="s">
        <v>553</v>
      </c>
    </row>
    <row r="30" spans="1:12" ht="3.75" customHeight="1" thickBot="1"/>
    <row r="31" spans="1:12" ht="26.5" thickBot="1">
      <c r="A31" s="494" t="s">
        <v>720</v>
      </c>
      <c r="B31" s="495" t="s">
        <v>721</v>
      </c>
      <c r="C31" s="652" t="s">
        <v>722</v>
      </c>
      <c r="D31" s="653"/>
      <c r="E31" s="660" t="s">
        <v>179</v>
      </c>
      <c r="F31" s="661"/>
    </row>
    <row r="32" spans="1:12" ht="13">
      <c r="A32" s="496" t="s">
        <v>709</v>
      </c>
      <c r="B32" s="497"/>
      <c r="C32" s="654" t="s">
        <v>728</v>
      </c>
      <c r="D32" s="655"/>
      <c r="E32" s="521">
        <f>'qde calcs'!C81*'qde calcs'!D7</f>
        <v>0</v>
      </c>
      <c r="F32" s="522">
        <f t="shared" ref="F32:F38" si="0">E32/1000</f>
        <v>0</v>
      </c>
      <c r="G32" s="239" t="s">
        <v>386</v>
      </c>
      <c r="H32" s="239">
        <v>31.64988</v>
      </c>
    </row>
    <row r="33" spans="1:9" ht="13">
      <c r="A33" s="498" t="s">
        <v>710</v>
      </c>
      <c r="B33" s="311"/>
      <c r="C33" s="654" t="s">
        <v>728</v>
      </c>
      <c r="D33" s="655"/>
      <c r="E33" s="523">
        <f>IF($F$48="Yes", 'qde calcs'!C86*'qde calcs'!$D$9,'qde calcs'!C86*'qde calcs'!$D$8)</f>
        <v>0</v>
      </c>
      <c r="F33" s="524">
        <f t="shared" si="0"/>
        <v>0</v>
      </c>
      <c r="G33" s="239" t="s">
        <v>728</v>
      </c>
      <c r="H33" s="239">
        <v>1</v>
      </c>
    </row>
    <row r="34" spans="1:9" ht="15">
      <c r="A34" s="498" t="s">
        <v>727</v>
      </c>
      <c r="B34" s="311"/>
      <c r="C34" s="668" t="s">
        <v>714</v>
      </c>
      <c r="D34" s="669"/>
      <c r="E34" s="523">
        <f>B34*'qde calcs'!D10</f>
        <v>0</v>
      </c>
      <c r="F34" s="524">
        <f t="shared" si="0"/>
        <v>0</v>
      </c>
      <c r="G34" s="239" t="s">
        <v>385</v>
      </c>
      <c r="H34" s="239">
        <v>11.1837</v>
      </c>
    </row>
    <row r="35" spans="1:9" ht="13">
      <c r="A35" s="498" t="s">
        <v>717</v>
      </c>
      <c r="B35" s="311"/>
      <c r="C35" s="668" t="s">
        <v>715</v>
      </c>
      <c r="D35" s="669"/>
      <c r="E35" s="523">
        <f>B35*'qde calcs'!D11</f>
        <v>0</v>
      </c>
      <c r="F35" s="524">
        <f t="shared" si="0"/>
        <v>0</v>
      </c>
      <c r="G35" s="499" t="s">
        <v>484</v>
      </c>
      <c r="H35" s="239">
        <f>100/B43</f>
        <v>25</v>
      </c>
    </row>
    <row r="36" spans="1:9" ht="13">
      <c r="A36" s="500" t="s">
        <v>452</v>
      </c>
      <c r="B36" s="501"/>
      <c r="C36" s="502" t="s">
        <v>714</v>
      </c>
      <c r="D36" s="503"/>
      <c r="E36" s="523">
        <f>B36*'qde calcs'!D12</f>
        <v>0</v>
      </c>
      <c r="F36" s="524">
        <f t="shared" si="0"/>
        <v>0</v>
      </c>
    </row>
    <row r="37" spans="1:9" ht="13.5" thickBot="1">
      <c r="A37" s="504" t="s">
        <v>716</v>
      </c>
      <c r="B37" s="505"/>
      <c r="C37" s="662" t="s">
        <v>715</v>
      </c>
      <c r="D37" s="663"/>
      <c r="E37" s="525">
        <f>B37*'qde calcs'!D13</f>
        <v>0</v>
      </c>
      <c r="F37" s="526">
        <f t="shared" si="0"/>
        <v>0</v>
      </c>
      <c r="G37" s="239" t="s">
        <v>728</v>
      </c>
      <c r="H37" s="239">
        <v>1</v>
      </c>
    </row>
    <row r="38" spans="1:9" ht="13.5" thickBot="1">
      <c r="D38" s="299" t="s">
        <v>266</v>
      </c>
      <c r="E38" s="471">
        <f>SUM(E32:E37)</f>
        <v>0</v>
      </c>
      <c r="F38" s="527">
        <f t="shared" si="0"/>
        <v>0</v>
      </c>
      <c r="G38" s="239" t="s">
        <v>484</v>
      </c>
      <c r="H38" s="239">
        <f>100/B44</f>
        <v>7.4074074074074074</v>
      </c>
    </row>
    <row r="39" spans="1:9" ht="12.75" customHeight="1">
      <c r="D39" s="299"/>
      <c r="E39" s="359" t="s">
        <v>47</v>
      </c>
      <c r="F39" s="331" t="s">
        <v>46</v>
      </c>
    </row>
    <row r="40" spans="1:9" ht="6.75" customHeight="1">
      <c r="D40" s="299"/>
      <c r="E40" s="359"/>
      <c r="F40" s="331"/>
    </row>
    <row r="41" spans="1:9" ht="12.75" customHeight="1">
      <c r="A41" s="277" t="s">
        <v>295</v>
      </c>
      <c r="D41" s="299"/>
      <c r="E41" s="359"/>
      <c r="F41" s="331"/>
    </row>
    <row r="42" spans="1:9" ht="14.25" customHeight="1" thickBot="1">
      <c r="A42" s="277" t="s">
        <v>296</v>
      </c>
      <c r="D42" s="299"/>
      <c r="E42" s="359"/>
      <c r="F42" s="331"/>
    </row>
    <row r="43" spans="1:9" ht="14.25" customHeight="1">
      <c r="A43" s="506" t="s">
        <v>709</v>
      </c>
      <c r="B43" s="507">
        <v>4</v>
      </c>
      <c r="C43" s="465" t="s">
        <v>483</v>
      </c>
      <c r="D43" s="299"/>
      <c r="E43" s="508" t="s">
        <v>213</v>
      </c>
      <c r="F43" s="331"/>
    </row>
    <row r="44" spans="1:9" ht="14.25" customHeight="1" thickBot="1">
      <c r="A44" s="509" t="s">
        <v>710</v>
      </c>
      <c r="B44" s="510">
        <v>13.5</v>
      </c>
      <c r="C44" s="465" t="s">
        <v>483</v>
      </c>
      <c r="D44" s="299"/>
      <c r="E44" s="508" t="s">
        <v>214</v>
      </c>
      <c r="F44" s="331"/>
    </row>
    <row r="45" spans="1:9" ht="24" customHeight="1">
      <c r="A45" s="511"/>
      <c r="D45" s="299"/>
      <c r="E45" s="359"/>
      <c r="F45" s="331"/>
    </row>
    <row r="46" spans="1:9" ht="13.5" thickBot="1">
      <c r="A46" s="278" t="s">
        <v>729</v>
      </c>
      <c r="B46" s="277"/>
      <c r="C46" s="277"/>
      <c r="D46" s="278"/>
      <c r="E46" s="512"/>
    </row>
    <row r="47" spans="1:9" ht="15" customHeight="1" thickBot="1">
      <c r="A47" s="277" t="s">
        <v>281</v>
      </c>
      <c r="B47" s="277"/>
      <c r="C47" s="277"/>
      <c r="D47" s="278"/>
      <c r="E47" s="275"/>
      <c r="F47" s="252" t="s">
        <v>45</v>
      </c>
      <c r="I47" s="239" t="s">
        <v>36</v>
      </c>
    </row>
    <row r="48" spans="1:9" ht="13" thickBot="1">
      <c r="A48" s="666" t="s">
        <v>730</v>
      </c>
      <c r="B48" s="666"/>
      <c r="C48" s="666"/>
      <c r="D48" s="666"/>
      <c r="E48" s="667"/>
      <c r="F48" s="625" t="s">
        <v>45</v>
      </c>
    </row>
    <row r="49" spans="1:15">
      <c r="A49" s="273"/>
      <c r="B49" s="626" t="s">
        <v>845</v>
      </c>
      <c r="C49" s="273"/>
      <c r="E49" s="273"/>
      <c r="F49" s="273"/>
      <c r="K49" s="664" t="s">
        <v>149</v>
      </c>
      <c r="L49" s="665"/>
      <c r="M49" s="665"/>
      <c r="N49" s="665"/>
      <c r="O49" s="665"/>
    </row>
    <row r="50" spans="1:15" ht="6" customHeight="1">
      <c r="D50" s="299"/>
      <c r="E50" s="513"/>
      <c r="F50" s="513"/>
    </row>
    <row r="51" spans="1:15" ht="15.75" customHeight="1">
      <c r="A51" s="659" t="s">
        <v>267</v>
      </c>
      <c r="B51" s="659"/>
      <c r="C51" s="659"/>
      <c r="D51" s="659"/>
      <c r="E51" s="659"/>
      <c r="F51" s="659"/>
    </row>
    <row r="52" spans="1:15" ht="6.75" customHeight="1" thickBot="1">
      <c r="A52" s="514"/>
      <c r="B52" s="514"/>
      <c r="C52" s="514"/>
      <c r="D52" s="514"/>
      <c r="E52" s="514"/>
      <c r="F52" s="514"/>
    </row>
    <row r="53" spans="1:15" ht="13" thickBot="1">
      <c r="B53" s="515" t="s">
        <v>268</v>
      </c>
      <c r="C53" s="656" t="s">
        <v>45</v>
      </c>
      <c r="D53" s="657"/>
      <c r="E53" s="515" t="s">
        <v>733</v>
      </c>
      <c r="F53" s="252" t="s">
        <v>45</v>
      </c>
    </row>
    <row r="54" spans="1:15" ht="13" thickBot="1">
      <c r="B54" s="515" t="s">
        <v>368</v>
      </c>
      <c r="C54" s="656" t="s">
        <v>45</v>
      </c>
      <c r="D54" s="657"/>
      <c r="E54" s="515" t="s">
        <v>734</v>
      </c>
      <c r="F54" s="252" t="s">
        <v>45</v>
      </c>
      <c r="H54" s="515"/>
    </row>
    <row r="55" spans="1:15" ht="13" thickBot="1">
      <c r="B55" s="515" t="s">
        <v>731</v>
      </c>
      <c r="C55" s="656" t="s">
        <v>45</v>
      </c>
      <c r="D55" s="657"/>
      <c r="E55" s="515" t="s">
        <v>735</v>
      </c>
      <c r="F55" s="252" t="s">
        <v>45</v>
      </c>
      <c r="H55" s="515"/>
    </row>
    <row r="56" spans="1:15" ht="13" thickBot="1">
      <c r="B56" s="515" t="s">
        <v>732</v>
      </c>
      <c r="C56" s="658" t="s">
        <v>45</v>
      </c>
      <c r="D56" s="657"/>
    </row>
    <row r="57" spans="1:15" ht="9.75" customHeight="1"/>
    <row r="58" spans="1:15" ht="13.5" thickBot="1">
      <c r="A58" s="516" t="s">
        <v>270</v>
      </c>
      <c r="B58" s="246"/>
    </row>
    <row r="59" spans="1:15" ht="13" thickBot="1">
      <c r="A59" s="277" t="s">
        <v>612</v>
      </c>
      <c r="F59" s="252" t="s">
        <v>686</v>
      </c>
    </row>
    <row r="60" spans="1:15" ht="6" customHeight="1"/>
    <row r="61" spans="1:15" ht="6.75" customHeight="1">
      <c r="B61" s="344"/>
      <c r="C61" s="272"/>
      <c r="D61" s="272"/>
      <c r="E61" s="268"/>
    </row>
    <row r="62" spans="1:15" ht="16" thickBot="1">
      <c r="A62" s="517" t="s">
        <v>736</v>
      </c>
      <c r="B62" s="518"/>
      <c r="C62" s="519"/>
      <c r="D62" s="519"/>
      <c r="E62" s="268"/>
    </row>
    <row r="63" spans="1:15" ht="13">
      <c r="A63" s="650" t="s">
        <v>180</v>
      </c>
      <c r="B63" s="650"/>
      <c r="C63" s="650"/>
      <c r="D63" s="651"/>
      <c r="E63" s="272" t="s">
        <v>738</v>
      </c>
      <c r="F63" s="528">
        <f>'qde calcs'!C99</f>
        <v>0</v>
      </c>
    </row>
    <row r="64" spans="1:15" ht="13.5" thickBot="1">
      <c r="A64" s="650"/>
      <c r="B64" s="650"/>
      <c r="C64" s="650"/>
      <c r="D64" s="651"/>
      <c r="E64" s="272" t="s">
        <v>739</v>
      </c>
      <c r="F64" s="529">
        <f>'qde calcs'!C98</f>
        <v>0</v>
      </c>
      <c r="G64" s="520"/>
    </row>
    <row r="65" spans="1:6" ht="13.5" thickBot="1">
      <c r="A65" s="651"/>
      <c r="B65" s="651"/>
      <c r="C65" s="651"/>
      <c r="D65" s="651"/>
      <c r="E65" s="344" t="s">
        <v>478</v>
      </c>
      <c r="F65" s="530">
        <f>SUM(F63:F64)</f>
        <v>0</v>
      </c>
    </row>
  </sheetData>
  <sheetProtection password="F001" sheet="1" objects="1" scenarios="1" selectLockedCells="1"/>
  <mergeCells count="37">
    <mergeCell ref="A21:E21"/>
    <mergeCell ref="A17:F17"/>
    <mergeCell ref="A18:F18"/>
    <mergeCell ref="A11:F11"/>
    <mergeCell ref="A15:F15"/>
    <mergeCell ref="A16:E16"/>
    <mergeCell ref="A19:E19"/>
    <mergeCell ref="K49:O49"/>
    <mergeCell ref="A48:E48"/>
    <mergeCell ref="C35:D35"/>
    <mergeCell ref="A3:F3"/>
    <mergeCell ref="E9:F9"/>
    <mergeCell ref="E8:F8"/>
    <mergeCell ref="C33:D33"/>
    <mergeCell ref="C34:D34"/>
    <mergeCell ref="A12:E12"/>
    <mergeCell ref="A13:E13"/>
    <mergeCell ref="A63:D65"/>
    <mergeCell ref="C31:D31"/>
    <mergeCell ref="C32:D32"/>
    <mergeCell ref="C53:D53"/>
    <mergeCell ref="C54:D54"/>
    <mergeCell ref="C55:D55"/>
    <mergeCell ref="C56:D56"/>
    <mergeCell ref="A51:F51"/>
    <mergeCell ref="E31:F31"/>
    <mergeCell ref="C37:D37"/>
    <mergeCell ref="A1:F1"/>
    <mergeCell ref="A23:F23"/>
    <mergeCell ref="A25:F25"/>
    <mergeCell ref="A6:D6"/>
    <mergeCell ref="E6:F6"/>
    <mergeCell ref="A7:D7"/>
    <mergeCell ref="E7:F7"/>
    <mergeCell ref="A8:D8"/>
    <mergeCell ref="A9:D9"/>
    <mergeCell ref="A20:E20"/>
  </mergeCells>
  <phoneticPr fontId="2" type="noConversion"/>
  <dataValidations count="9">
    <dataValidation type="list" allowBlank="1" showInputMessage="1" showErrorMessage="1" sqref="C53:C56 F53:F55 F47">
      <formula1>"Yes,No"</formula1>
    </dataValidation>
    <dataValidation type="list" allowBlank="1" showInputMessage="1" showErrorMessage="1" sqref="F48">
      <formula1>"Yes, No"</formula1>
    </dataValidation>
    <dataValidation type="list" allowBlank="1" showInputMessage="1" showErrorMessage="1" sqref="F59">
      <formula1>"yes,no"</formula1>
    </dataValidation>
    <dataValidation type="list" allowBlank="1" showInputMessage="1" showErrorMessage="1" sqref="C32:D32">
      <formula1>$G$32:$G$35</formula1>
    </dataValidation>
    <dataValidation type="list" allowBlank="1" showInputMessage="1" showErrorMessage="1" sqref="C33:D33">
      <formula1>$G$37:$G$38</formula1>
    </dataValidation>
    <dataValidation type="list" allowBlank="1" showInputMessage="1" showErrorMessage="1" sqref="F20">
      <formula1>"select from the following…,pre 1930, 1930-1995, post 1995"</formula1>
    </dataValidation>
    <dataValidation type="list" allowBlank="1" showInputMessage="1" showErrorMessage="1" sqref="G21">
      <formula1>"end terrace, mid terrace, semi-detached, bungalow, maisonette, detached, flat"</formula1>
    </dataValidation>
    <dataValidation type="list" allowBlank="1" showInputMessage="1" showErrorMessage="1" sqref="E9:F10">
      <formula1>$H$19:$H$22</formula1>
    </dataValidation>
    <dataValidation type="list" allowBlank="1" showInputMessage="1" showErrorMessage="1" sqref="F21">
      <formula1>"select from the following…,end terrace, mid terrace, semi-detached, bungalow, maisonette, detached, flat"</formula1>
    </dataValidation>
  </dataValidations>
  <hyperlinks>
    <hyperlink ref="B49" r:id="rId1"/>
  </hyperlinks>
  <pageMargins left="0.39370078740157483" right="0.26" top="0.39370078740157483" bottom="0.19685039370078741" header="0.39370078740157483" footer="0.19685039370078741"/>
  <pageSetup paperSize="9" scale="89" orientation="portrait" blackAndWhite="1" draft="1" horizontalDpi="4294967294" verticalDpi="429496729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I25"/>
  <sheetViews>
    <sheetView workbookViewId="0">
      <selection activeCell="A32" sqref="A32"/>
    </sheetView>
  </sheetViews>
  <sheetFormatPr defaultColWidth="8.81640625" defaultRowHeight="12.5"/>
  <cols>
    <col min="1" max="1" width="12.1796875" customWidth="1"/>
  </cols>
  <sheetData>
    <row r="22" spans="1:9" s="86" customFormat="1">
      <c r="A22"/>
      <c r="B22"/>
      <c r="C22"/>
      <c r="D22"/>
      <c r="E22"/>
      <c r="F22"/>
      <c r="G22"/>
      <c r="H22"/>
      <c r="I22"/>
    </row>
    <row r="25" spans="1:9">
      <c r="A25" s="86"/>
      <c r="B25" s="86"/>
      <c r="C25" s="86"/>
      <c r="D25" s="86"/>
      <c r="E25" s="86"/>
      <c r="F25" s="86"/>
      <c r="G25" s="86"/>
      <c r="H25" s="86"/>
      <c r="I25" s="86"/>
    </row>
  </sheetData>
  <phoneticPr fontId="2"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28" sqref="C28"/>
    </sheetView>
  </sheetViews>
  <sheetFormatPr defaultColWidth="8.81640625" defaultRowHeight="12.5"/>
  <cols>
    <col min="1" max="1" width="10.1796875" bestFit="1" customWidth="1"/>
    <col min="2" max="2" width="12.81640625" customWidth="1"/>
    <col min="3" max="3" width="73.36328125" customWidth="1"/>
  </cols>
  <sheetData>
    <row r="1" spans="1:4">
      <c r="A1" t="s">
        <v>393</v>
      </c>
      <c r="B1" t="s">
        <v>394</v>
      </c>
      <c r="C1" t="s">
        <v>395</v>
      </c>
      <c r="D1" t="s">
        <v>396</v>
      </c>
    </row>
    <row r="2" spans="1:4" ht="25">
      <c r="A2" s="63">
        <v>40189</v>
      </c>
      <c r="B2" t="s">
        <v>397</v>
      </c>
      <c r="C2" s="64" t="s">
        <v>398</v>
      </c>
    </row>
    <row r="3" spans="1:4">
      <c r="A3" s="63">
        <v>40191</v>
      </c>
      <c r="B3" t="s">
        <v>397</v>
      </c>
      <c r="C3" t="s">
        <v>441</v>
      </c>
      <c r="D3" t="s">
        <v>581</v>
      </c>
    </row>
    <row r="4" spans="1:4">
      <c r="A4" s="63">
        <v>40203</v>
      </c>
      <c r="B4" t="s">
        <v>397</v>
      </c>
      <c r="C4" t="s">
        <v>582</v>
      </c>
    </row>
    <row r="5" spans="1:4">
      <c r="C5" t="s">
        <v>599</v>
      </c>
    </row>
    <row r="6" spans="1:4">
      <c r="C6" t="s">
        <v>600</v>
      </c>
    </row>
    <row r="7" spans="1:4">
      <c r="A7" s="63">
        <v>40210</v>
      </c>
      <c r="B7" t="s">
        <v>397</v>
      </c>
      <c r="C7" t="s">
        <v>601</v>
      </c>
      <c r="D7" t="s">
        <v>499</v>
      </c>
    </row>
    <row r="8" spans="1:4">
      <c r="A8" s="112">
        <v>40255</v>
      </c>
      <c r="B8" t="s">
        <v>497</v>
      </c>
      <c r="C8" t="s">
        <v>498</v>
      </c>
    </row>
    <row r="9" spans="1:4">
      <c r="A9" s="63">
        <v>40255</v>
      </c>
      <c r="B9" t="s">
        <v>397</v>
      </c>
      <c r="C9" t="s">
        <v>501</v>
      </c>
    </row>
    <row r="10" spans="1:4">
      <c r="A10" s="63">
        <v>40255</v>
      </c>
      <c r="B10" t="s">
        <v>500</v>
      </c>
      <c r="C10" t="s">
        <v>99</v>
      </c>
    </row>
    <row r="11" spans="1:4">
      <c r="A11" s="63">
        <v>40255</v>
      </c>
      <c r="B11" t="s">
        <v>500</v>
      </c>
      <c r="C11" t="s">
        <v>502</v>
      </c>
    </row>
    <row r="12" spans="1:4">
      <c r="A12" s="63">
        <v>40262</v>
      </c>
      <c r="B12" t="s">
        <v>405</v>
      </c>
      <c r="C12" t="s">
        <v>404</v>
      </c>
      <c r="D12" t="s">
        <v>581</v>
      </c>
    </row>
  </sheetData>
  <phoneticPr fontId="2"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selection activeCell="A53" sqref="A53"/>
    </sheetView>
  </sheetViews>
  <sheetFormatPr defaultColWidth="8.81640625" defaultRowHeight="12.5"/>
  <cols>
    <col min="1" max="1" width="113.1796875" bestFit="1" customWidth="1"/>
  </cols>
  <sheetData>
    <row r="1" spans="1:3">
      <c r="A1" t="s">
        <v>226</v>
      </c>
    </row>
    <row r="3" spans="1:3">
      <c r="A3" t="s">
        <v>249</v>
      </c>
    </row>
    <row r="5" spans="1:3">
      <c r="A5" t="s">
        <v>262</v>
      </c>
    </row>
    <row r="7" spans="1:3">
      <c r="A7" t="s">
        <v>264</v>
      </c>
    </row>
    <row r="8" spans="1:3">
      <c r="B8" s="18"/>
      <c r="C8" s="18"/>
    </row>
    <row r="9" spans="1:3">
      <c r="B9" s="18"/>
      <c r="C9" s="18"/>
    </row>
    <row r="10" spans="1:3" ht="13">
      <c r="A10" s="19" t="s">
        <v>271</v>
      </c>
      <c r="B10" s="18"/>
      <c r="C10" s="18"/>
    </row>
    <row r="11" spans="1:3" ht="13">
      <c r="A11" s="19" t="s">
        <v>313</v>
      </c>
      <c r="B11" s="18"/>
      <c r="C11" s="18"/>
    </row>
    <row r="12" spans="1:3" ht="13">
      <c r="A12" s="19" t="s">
        <v>327</v>
      </c>
      <c r="B12" s="18"/>
      <c r="C12" s="18"/>
    </row>
    <row r="13" spans="1:3">
      <c r="A13" t="s">
        <v>272</v>
      </c>
      <c r="B13" s="18"/>
      <c r="C13" s="18"/>
    </row>
    <row r="14" spans="1:3">
      <c r="A14" t="s">
        <v>273</v>
      </c>
      <c r="B14" s="18"/>
      <c r="C14" s="18"/>
    </row>
    <row r="15" spans="1:3">
      <c r="A15" t="s">
        <v>311</v>
      </c>
      <c r="B15" s="18"/>
      <c r="C15" s="18"/>
    </row>
    <row r="16" spans="1:3">
      <c r="A16" t="s">
        <v>312</v>
      </c>
      <c r="B16" s="18"/>
      <c r="C16" s="18"/>
    </row>
    <row r="17" spans="1:3">
      <c r="A17" s="52" t="s">
        <v>326</v>
      </c>
      <c r="B17" s="18"/>
      <c r="C17" s="18"/>
    </row>
    <row r="18" spans="1:3">
      <c r="A18" s="52" t="s">
        <v>328</v>
      </c>
    </row>
    <row r="19" spans="1:3">
      <c r="A19" s="52" t="s">
        <v>342</v>
      </c>
    </row>
    <row r="20" spans="1:3">
      <c r="A20" s="52" t="s">
        <v>343</v>
      </c>
    </row>
    <row r="21" spans="1:3">
      <c r="A21" s="52" t="s">
        <v>350</v>
      </c>
    </row>
    <row r="22" spans="1:3">
      <c r="A22" s="52" t="s">
        <v>354</v>
      </c>
    </row>
    <row r="23" spans="1:3">
      <c r="A23" s="52" t="s">
        <v>344</v>
      </c>
    </row>
    <row r="24" spans="1:3">
      <c r="A24" s="52" t="s">
        <v>345</v>
      </c>
    </row>
    <row r="25" spans="1:3">
      <c r="A25" s="52" t="s">
        <v>349</v>
      </c>
    </row>
    <row r="26" spans="1:3">
      <c r="A26" s="52" t="s">
        <v>351</v>
      </c>
    </row>
    <row r="27" spans="1:3">
      <c r="A27" s="52" t="s">
        <v>352</v>
      </c>
    </row>
    <row r="28" spans="1:3">
      <c r="A28" s="52" t="s">
        <v>353</v>
      </c>
    </row>
    <row r="29" spans="1:3">
      <c r="A29" s="52" t="s">
        <v>355</v>
      </c>
    </row>
    <row r="30" spans="1:3">
      <c r="A30" s="52" t="s">
        <v>356</v>
      </c>
    </row>
    <row r="31" spans="1:3">
      <c r="A31" s="52" t="s">
        <v>357</v>
      </c>
    </row>
    <row r="32" spans="1:3">
      <c r="A32" s="52" t="s">
        <v>358</v>
      </c>
    </row>
    <row r="33" spans="1:1">
      <c r="A33" s="52" t="s">
        <v>360</v>
      </c>
    </row>
    <row r="34" spans="1:1">
      <c r="A34" s="52" t="s">
        <v>359</v>
      </c>
    </row>
    <row r="35" spans="1:1">
      <c r="A35" s="52" t="s">
        <v>361</v>
      </c>
    </row>
    <row r="36" spans="1:1">
      <c r="A36" s="52"/>
    </row>
    <row r="37" spans="1:1">
      <c r="A37" t="s">
        <v>274</v>
      </c>
    </row>
    <row r="38" spans="1:1">
      <c r="A38" t="s">
        <v>300</v>
      </c>
    </row>
    <row r="39" spans="1:1">
      <c r="A39" t="s">
        <v>301</v>
      </c>
    </row>
    <row r="40" spans="1:1">
      <c r="A40" t="s">
        <v>302</v>
      </c>
    </row>
    <row r="41" spans="1:1">
      <c r="A41" t="s">
        <v>303</v>
      </c>
    </row>
    <row r="42" spans="1:1">
      <c r="A42" t="s">
        <v>304</v>
      </c>
    </row>
    <row r="43" spans="1:1">
      <c r="A43" t="s">
        <v>305</v>
      </c>
    </row>
    <row r="44" spans="1:1">
      <c r="A44" t="s">
        <v>306</v>
      </c>
    </row>
    <row r="45" spans="1:1">
      <c r="A45" t="s">
        <v>307</v>
      </c>
    </row>
    <row r="46" spans="1:1">
      <c r="A46" t="s">
        <v>308</v>
      </c>
    </row>
    <row r="47" spans="1:1">
      <c r="A47" t="s">
        <v>309</v>
      </c>
    </row>
    <row r="48" spans="1:1">
      <c r="A48" t="s">
        <v>310</v>
      </c>
    </row>
    <row r="49" spans="1:1">
      <c r="A49" t="s">
        <v>314</v>
      </c>
    </row>
    <row r="50" spans="1:1">
      <c r="A50" t="s">
        <v>315</v>
      </c>
    </row>
    <row r="51" spans="1:1">
      <c r="A51" t="s">
        <v>316</v>
      </c>
    </row>
    <row r="52" spans="1:1">
      <c r="A52" t="s">
        <v>317</v>
      </c>
    </row>
    <row r="53" spans="1:1">
      <c r="A53" t="s">
        <v>318</v>
      </c>
    </row>
    <row r="54" spans="1:1">
      <c r="A54" t="s">
        <v>319</v>
      </c>
    </row>
    <row r="55" spans="1:1">
      <c r="A55" t="s">
        <v>320</v>
      </c>
    </row>
    <row r="56" spans="1:1">
      <c r="A56" t="s">
        <v>321</v>
      </c>
    </row>
    <row r="57" spans="1:1">
      <c r="A57" t="s">
        <v>322</v>
      </c>
    </row>
    <row r="58" spans="1:1">
      <c r="A58" t="s">
        <v>323</v>
      </c>
    </row>
    <row r="59" spans="1:1">
      <c r="A59" t="s">
        <v>324</v>
      </c>
    </row>
    <row r="60" spans="1:1">
      <c r="A60" t="s">
        <v>325</v>
      </c>
    </row>
    <row r="61" spans="1:1">
      <c r="A61" t="s">
        <v>362</v>
      </c>
    </row>
    <row r="62" spans="1:1">
      <c r="A62" t="s">
        <v>365</v>
      </c>
    </row>
    <row r="63" spans="1:1">
      <c r="A63" t="s">
        <v>366</v>
      </c>
    </row>
    <row r="64" spans="1:1">
      <c r="A64" t="s">
        <v>367</v>
      </c>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M207"/>
  <sheetViews>
    <sheetView showGridLines="0" topLeftCell="A163" zoomScale="120" zoomScaleNormal="100" zoomScaleSheetLayoutView="100" workbookViewId="0">
      <selection activeCell="B202" sqref="B202"/>
    </sheetView>
  </sheetViews>
  <sheetFormatPr defaultColWidth="9.1796875" defaultRowHeight="12.5"/>
  <cols>
    <col min="1" max="1" width="25.81640625" style="239" customWidth="1"/>
    <col min="2" max="2" width="27" style="239" customWidth="1"/>
    <col min="3" max="3" width="11.1796875" style="239" customWidth="1"/>
    <col min="4" max="4" width="11.453125" style="239" customWidth="1"/>
    <col min="5" max="5" width="10.453125" style="239" customWidth="1"/>
    <col min="6" max="6" width="11.453125" style="239" customWidth="1"/>
    <col min="7" max="7" width="11" style="239" customWidth="1"/>
    <col min="8" max="8" width="11.1796875" style="239" customWidth="1"/>
    <col min="9" max="9" width="12" style="240" hidden="1" customWidth="1"/>
    <col min="10" max="10" width="0" style="241" hidden="1" customWidth="1"/>
    <col min="11" max="12" width="9.1796875" style="240"/>
    <col min="13" max="16384" width="9.1796875" style="239"/>
  </cols>
  <sheetData>
    <row r="1" spans="1:12" ht="16.5">
      <c r="A1" s="630" t="s">
        <v>399</v>
      </c>
      <c r="B1" s="631"/>
      <c r="C1" s="631"/>
      <c r="D1" s="631"/>
      <c r="E1" s="631"/>
      <c r="F1" s="631"/>
    </row>
    <row r="2" spans="1:12" ht="3" customHeight="1">
      <c r="A2" s="242"/>
      <c r="B2" s="243"/>
      <c r="C2" s="243"/>
      <c r="D2" s="243"/>
      <c r="E2" s="243"/>
      <c r="F2" s="243"/>
    </row>
    <row r="3" spans="1:12" s="246" customFormat="1" ht="28.5" customHeight="1">
      <c r="A3" s="687" t="s">
        <v>846</v>
      </c>
      <c r="B3" s="633"/>
      <c r="C3" s="633"/>
      <c r="D3" s="633"/>
      <c r="E3" s="633"/>
      <c r="F3" s="633"/>
      <c r="I3" s="247"/>
      <c r="J3" s="248"/>
      <c r="K3" s="247"/>
      <c r="L3" s="247"/>
    </row>
    <row r="4" spans="1:12" ht="16.5" customHeight="1">
      <c r="A4" s="424" t="s">
        <v>284</v>
      </c>
      <c r="C4" s="424" t="s">
        <v>285</v>
      </c>
    </row>
    <row r="5" spans="1:12" ht="16.5">
      <c r="A5" s="249" t="s">
        <v>740</v>
      </c>
    </row>
    <row r="6" spans="1:12" ht="21" customHeight="1" thickBot="1">
      <c r="A6" s="688" t="s">
        <v>480</v>
      </c>
      <c r="B6" s="688"/>
      <c r="C6" s="688"/>
      <c r="D6" s="688"/>
      <c r="E6" s="688"/>
      <c r="F6" s="688"/>
    </row>
    <row r="7" spans="1:12" ht="13.5" thickBot="1">
      <c r="A7" s="251" t="s">
        <v>528</v>
      </c>
      <c r="F7" s="252"/>
    </row>
    <row r="8" spans="1:12" ht="15" customHeight="1"/>
    <row r="9" spans="1:12" ht="14.25" customHeight="1">
      <c r="A9" s="251" t="s">
        <v>482</v>
      </c>
    </row>
    <row r="10" spans="1:12" ht="13.5" customHeight="1" thickBot="1"/>
    <row r="11" spans="1:12" ht="13.5" thickBot="1">
      <c r="A11" s="253" t="s">
        <v>461</v>
      </c>
      <c r="B11" s="254"/>
      <c r="C11" s="254"/>
      <c r="D11" s="253"/>
      <c r="E11" s="255" t="s">
        <v>718</v>
      </c>
      <c r="F11" s="256"/>
      <c r="L11" s="239"/>
    </row>
    <row r="12" spans="1:12" ht="13" thickBot="1">
      <c r="A12" s="644" t="s">
        <v>719</v>
      </c>
      <c r="B12" s="645"/>
      <c r="C12" s="645"/>
      <c r="D12" s="645"/>
      <c r="E12" s="646"/>
      <c r="F12" s="256"/>
      <c r="L12" s="239"/>
    </row>
    <row r="13" spans="1:12" ht="13" thickBot="1">
      <c r="A13" s="259"/>
      <c r="B13" s="260"/>
      <c r="C13" s="257"/>
      <c r="D13" s="257"/>
      <c r="E13" s="258" t="s">
        <v>741</v>
      </c>
      <c r="F13" s="261" t="s">
        <v>737</v>
      </c>
      <c r="L13" s="239"/>
    </row>
    <row r="14" spans="1:12" ht="13" thickBot="1">
      <c r="A14" s="259"/>
      <c r="B14" s="260"/>
      <c r="C14" s="257"/>
      <c r="D14" s="257"/>
      <c r="E14" s="258" t="s">
        <v>742</v>
      </c>
      <c r="F14" s="261">
        <v>12</v>
      </c>
      <c r="L14" s="239"/>
    </row>
    <row r="15" spans="1:12" ht="13" thickBot="1">
      <c r="A15" s="644" t="s">
        <v>743</v>
      </c>
      <c r="B15" s="645"/>
      <c r="C15" s="645"/>
      <c r="D15" s="645"/>
      <c r="E15" s="646"/>
      <c r="F15" s="262"/>
      <c r="G15" s="263"/>
      <c r="H15" s="263"/>
      <c r="I15" s="264"/>
      <c r="L15" s="239"/>
    </row>
    <row r="16" spans="1:12" ht="16" thickBot="1">
      <c r="A16" s="265" t="s">
        <v>401</v>
      </c>
      <c r="B16" s="260" t="s">
        <v>402</v>
      </c>
      <c r="C16" s="266"/>
      <c r="D16" s="266"/>
      <c r="E16" s="627" t="s">
        <v>847</v>
      </c>
      <c r="F16" s="262"/>
      <c r="L16" s="239"/>
    </row>
    <row r="17" spans="1:12" ht="16" thickBot="1">
      <c r="A17" s="690" t="s">
        <v>208</v>
      </c>
      <c r="B17" s="690"/>
      <c r="C17" s="690"/>
      <c r="D17" s="690"/>
      <c r="E17" s="690"/>
      <c r="F17" s="382">
        <f>F16*F15*1.609/1000000*'qt calcs'!C11</f>
        <v>0</v>
      </c>
      <c r="L17" s="239"/>
    </row>
    <row r="18" spans="1:12" ht="23.25" customHeight="1" thickBot="1">
      <c r="A18" s="267"/>
      <c r="B18" s="268"/>
      <c r="C18" s="268"/>
      <c r="D18" s="268"/>
      <c r="E18" s="268"/>
      <c r="F18" s="269"/>
      <c r="L18" s="239"/>
    </row>
    <row r="19" spans="1:12" ht="13.5" thickBot="1">
      <c r="A19" s="253" t="s">
        <v>462</v>
      </c>
      <c r="B19" s="254"/>
      <c r="C19" s="254"/>
      <c r="D19" s="253"/>
      <c r="E19" s="255" t="s">
        <v>718</v>
      </c>
      <c r="F19" s="256"/>
    </row>
    <row r="20" spans="1:12" ht="13" thickBot="1">
      <c r="A20" s="644" t="s">
        <v>719</v>
      </c>
      <c r="B20" s="645"/>
      <c r="C20" s="645"/>
      <c r="D20" s="645"/>
      <c r="E20" s="646"/>
      <c r="F20" s="256"/>
    </row>
    <row r="21" spans="1:12" ht="13" thickBot="1">
      <c r="A21" s="259"/>
      <c r="B21" s="260"/>
      <c r="C21" s="257"/>
      <c r="D21" s="257"/>
      <c r="E21" s="258" t="s">
        <v>741</v>
      </c>
      <c r="F21" s="261" t="s">
        <v>228</v>
      </c>
    </row>
    <row r="22" spans="1:12" ht="13" thickBot="1">
      <c r="A22" s="259"/>
      <c r="B22" s="260"/>
      <c r="C22" s="257"/>
      <c r="D22" s="257"/>
      <c r="E22" s="258" t="s">
        <v>742</v>
      </c>
      <c r="F22" s="261">
        <v>12</v>
      </c>
    </row>
    <row r="23" spans="1:12" ht="13" thickBot="1">
      <c r="A23" s="644" t="s">
        <v>743</v>
      </c>
      <c r="B23" s="645"/>
      <c r="C23" s="645"/>
      <c r="D23" s="645"/>
      <c r="E23" s="646"/>
      <c r="F23" s="262"/>
      <c r="G23" s="263"/>
      <c r="H23" s="263"/>
      <c r="I23" s="264"/>
    </row>
    <row r="24" spans="1:12" ht="16" thickBot="1">
      <c r="A24" s="265" t="s">
        <v>401</v>
      </c>
      <c r="B24" s="260" t="s">
        <v>402</v>
      </c>
      <c r="C24" s="266"/>
      <c r="D24" s="266"/>
      <c r="E24" s="627" t="s">
        <v>848</v>
      </c>
      <c r="F24" s="262"/>
    </row>
    <row r="25" spans="1:12" ht="16" thickBot="1">
      <c r="A25" s="690" t="s">
        <v>208</v>
      </c>
      <c r="B25" s="690"/>
      <c r="C25" s="690"/>
      <c r="D25" s="690"/>
      <c r="E25" s="690"/>
      <c r="F25" s="382">
        <f>F24*F23*1.609/1000000*'qt calcs'!C11</f>
        <v>0</v>
      </c>
    </row>
    <row r="26" spans="1:12" ht="23.25" customHeight="1" thickBot="1">
      <c r="A26" s="267"/>
      <c r="B26" s="268"/>
      <c r="C26" s="268"/>
      <c r="D26" s="268"/>
      <c r="E26" s="268"/>
      <c r="F26" s="269"/>
      <c r="I26" s="239"/>
    </row>
    <row r="27" spans="1:12" ht="13.5" thickBot="1">
      <c r="A27" s="253" t="s">
        <v>463</v>
      </c>
      <c r="B27" s="254"/>
      <c r="C27" s="254"/>
      <c r="D27" s="253"/>
      <c r="E27" s="255" t="s">
        <v>718</v>
      </c>
      <c r="F27" s="256"/>
      <c r="I27" s="239"/>
    </row>
    <row r="28" spans="1:12" ht="13" thickBot="1">
      <c r="A28" s="644" t="s">
        <v>719</v>
      </c>
      <c r="B28" s="645"/>
      <c r="C28" s="645"/>
      <c r="D28" s="645"/>
      <c r="E28" s="646"/>
      <c r="F28" s="256"/>
      <c r="I28" s="239"/>
    </row>
    <row r="29" spans="1:12" ht="13" thickBot="1">
      <c r="A29" s="259"/>
      <c r="B29" s="260"/>
      <c r="C29" s="257"/>
      <c r="D29" s="257"/>
      <c r="E29" s="258" t="s">
        <v>37</v>
      </c>
      <c r="F29" s="261" t="s">
        <v>228</v>
      </c>
      <c r="I29" s="239"/>
    </row>
    <row r="30" spans="1:12" ht="13" thickBot="1">
      <c r="A30" s="259"/>
      <c r="B30" s="260"/>
      <c r="C30" s="257"/>
      <c r="D30" s="257"/>
      <c r="E30" s="258" t="s">
        <v>742</v>
      </c>
      <c r="F30" s="261">
        <v>12</v>
      </c>
    </row>
    <row r="31" spans="1:12" ht="13" thickBot="1">
      <c r="A31" s="644" t="s">
        <v>743</v>
      </c>
      <c r="B31" s="645"/>
      <c r="C31" s="645"/>
      <c r="D31" s="645"/>
      <c r="E31" s="646"/>
      <c r="F31" s="262"/>
      <c r="I31" s="239"/>
    </row>
    <row r="32" spans="1:12" ht="16" thickBot="1">
      <c r="A32" s="265" t="s">
        <v>401</v>
      </c>
      <c r="B32" s="260" t="s">
        <v>402</v>
      </c>
      <c r="C32" s="266"/>
      <c r="D32" s="266"/>
      <c r="E32" s="627" t="s">
        <v>848</v>
      </c>
      <c r="F32" s="262"/>
      <c r="I32" s="239"/>
    </row>
    <row r="33" spans="1:9" ht="16" thickBot="1">
      <c r="A33" s="690" t="s">
        <v>208</v>
      </c>
      <c r="B33" s="690"/>
      <c r="C33" s="690"/>
      <c r="D33" s="690"/>
      <c r="E33" s="690"/>
      <c r="F33" s="382">
        <f>F32*F31*1.609/1000000*'qt calcs'!C11</f>
        <v>0</v>
      </c>
      <c r="I33" s="239"/>
    </row>
    <row r="34" spans="1:9" ht="36" customHeight="1">
      <c r="A34" s="268"/>
      <c r="B34" s="268"/>
      <c r="C34" s="268"/>
      <c r="D34" s="268"/>
      <c r="E34" s="268"/>
      <c r="F34" s="270"/>
      <c r="I34" s="239"/>
    </row>
    <row r="35" spans="1:9" ht="13.5" customHeight="1" thickBot="1">
      <c r="A35" s="689" t="s">
        <v>65</v>
      </c>
      <c r="B35" s="689"/>
      <c r="C35" s="268"/>
      <c r="D35" s="268"/>
      <c r="E35" s="268"/>
      <c r="F35" s="271" t="s">
        <v>83</v>
      </c>
      <c r="I35" s="239"/>
    </row>
    <row r="36" spans="1:9" ht="15.75" customHeight="1">
      <c r="A36" s="694" t="s">
        <v>181</v>
      </c>
      <c r="B36" s="695"/>
      <c r="C36" s="695"/>
      <c r="D36" s="695"/>
      <c r="E36" s="696"/>
      <c r="F36" s="383">
        <f>F17+F25+F33</f>
        <v>0</v>
      </c>
      <c r="G36" s="273"/>
      <c r="H36" s="273"/>
      <c r="I36" s="274"/>
    </row>
    <row r="37" spans="1:9" ht="16" thickBot="1">
      <c r="A37" s="268"/>
      <c r="B37" s="268"/>
      <c r="C37" s="268"/>
      <c r="D37" s="268"/>
      <c r="E37" s="268" t="s">
        <v>182</v>
      </c>
      <c r="F37" s="384">
        <f>LOOKUP($F$13,'qt calcs'!$A$16:$A$22,'qt calcs'!$B$16:$B$22)*$F$14/12+LOOKUP($F$21,'qt calcs'!$A$16:$A$22,'qt calcs'!$B$16:$B$22)*$F$22/12+LOOKUP($F$29,'qt calcs'!$A$16:$A$22,'qt calcs'!$B$16:$B$22)*$F$30/12</f>
        <v>0</v>
      </c>
      <c r="G37" s="273"/>
      <c r="H37" s="274"/>
      <c r="I37" s="274"/>
    </row>
    <row r="38" spans="1:9" ht="13.5" thickBot="1">
      <c r="A38" s="268"/>
      <c r="B38" s="268"/>
      <c r="C38" s="268"/>
      <c r="D38" s="268"/>
      <c r="E38" s="275" t="s">
        <v>378</v>
      </c>
      <c r="F38" s="382">
        <f>SUM(F36:F37)</f>
        <v>0</v>
      </c>
      <c r="G38" s="273"/>
      <c r="H38" s="273"/>
      <c r="I38" s="274"/>
    </row>
    <row r="39" spans="1:9" ht="13">
      <c r="A39" s="268"/>
      <c r="B39" s="268"/>
      <c r="C39" s="268"/>
      <c r="D39" s="268"/>
      <c r="E39" s="275"/>
      <c r="F39" s="270"/>
      <c r="G39" s="273"/>
      <c r="H39" s="273"/>
      <c r="I39" s="274"/>
    </row>
    <row r="40" spans="1:9" ht="18.75" customHeight="1">
      <c r="A40" s="246"/>
      <c r="D40" s="251"/>
      <c r="F40" s="251"/>
    </row>
    <row r="41" spans="1:9" ht="14.25" customHeight="1">
      <c r="A41" s="249" t="s">
        <v>533</v>
      </c>
      <c r="D41" s="251"/>
      <c r="F41" s="251"/>
    </row>
    <row r="42" spans="1:9" ht="31.5" customHeight="1">
      <c r="A42" s="697" t="s">
        <v>744</v>
      </c>
      <c r="B42" s="697"/>
      <c r="C42" s="697"/>
      <c r="D42" s="697"/>
      <c r="E42" s="697"/>
      <c r="F42" s="697"/>
      <c r="G42" s="697"/>
      <c r="H42" s="697"/>
    </row>
    <row r="43" spans="1:9" ht="20.25" customHeight="1">
      <c r="A43" s="277" t="s">
        <v>745</v>
      </c>
      <c r="B43" s="277"/>
      <c r="C43" s="277"/>
      <c r="D43" s="278"/>
      <c r="E43" s="277"/>
      <c r="F43" s="277"/>
      <c r="G43" s="278"/>
      <c r="H43" s="278"/>
    </row>
    <row r="44" spans="1:9" ht="46.5" customHeight="1">
      <c r="A44" s="697" t="s">
        <v>746</v>
      </c>
      <c r="B44" s="697"/>
      <c r="C44" s="697"/>
      <c r="D44" s="697"/>
      <c r="E44" s="697"/>
      <c r="F44" s="697"/>
      <c r="G44" s="697"/>
      <c r="H44" s="276"/>
    </row>
    <row r="45" spans="1:9" ht="24" customHeight="1">
      <c r="A45" s="251" t="s">
        <v>534</v>
      </c>
      <c r="B45" s="251"/>
      <c r="D45" s="251"/>
      <c r="G45" s="251"/>
      <c r="H45" s="251"/>
    </row>
    <row r="46" spans="1:9" ht="19.5" customHeight="1">
      <c r="A46" s="692" t="s">
        <v>479</v>
      </c>
      <c r="B46" s="692"/>
      <c r="C46" s="692"/>
      <c r="D46" s="692"/>
      <c r="E46" s="692"/>
      <c r="F46" s="692"/>
      <c r="G46" s="692"/>
      <c r="H46" s="279"/>
    </row>
    <row r="47" spans="1:9" ht="43.5" customHeight="1">
      <c r="A47" s="692" t="s">
        <v>747</v>
      </c>
      <c r="B47" s="692"/>
      <c r="C47" s="692"/>
      <c r="D47" s="692"/>
      <c r="E47" s="692"/>
      <c r="F47" s="692"/>
      <c r="G47" s="692"/>
      <c r="H47" s="693"/>
    </row>
    <row r="48" spans="1:9" ht="5.25" customHeight="1" thickBot="1">
      <c r="A48" s="691"/>
      <c r="B48" s="691"/>
      <c r="C48" s="691"/>
      <c r="D48" s="691"/>
      <c r="E48" s="691"/>
      <c r="F48" s="691"/>
      <c r="G48" s="691"/>
      <c r="H48" s="280"/>
    </row>
    <row r="49" spans="1:9" ht="58.5" customHeight="1" thickBot="1">
      <c r="A49" s="281" t="s">
        <v>406</v>
      </c>
      <c r="B49" s="282" t="s">
        <v>407</v>
      </c>
      <c r="C49" s="283" t="s">
        <v>408</v>
      </c>
      <c r="D49" s="283" t="s">
        <v>409</v>
      </c>
      <c r="E49" s="284" t="s">
        <v>481</v>
      </c>
      <c r="F49" s="284" t="s">
        <v>292</v>
      </c>
      <c r="G49" s="285" t="s">
        <v>749</v>
      </c>
      <c r="H49" s="286" t="s">
        <v>748</v>
      </c>
    </row>
    <row r="50" spans="1:9" ht="14.25" customHeight="1">
      <c r="A50" s="287"/>
      <c r="B50" s="288"/>
      <c r="C50" s="289"/>
      <c r="D50" s="289"/>
      <c r="E50" s="290"/>
      <c r="F50" s="290"/>
      <c r="G50" s="291"/>
      <c r="H50" s="385">
        <f>'qt calcs'!D85</f>
        <v>0</v>
      </c>
    </row>
    <row r="51" spans="1:9" ht="14.25" customHeight="1">
      <c r="A51" s="292"/>
      <c r="B51" s="293"/>
      <c r="C51" s="294"/>
      <c r="D51" s="294"/>
      <c r="E51" s="295"/>
      <c r="F51" s="296"/>
      <c r="G51" s="297"/>
      <c r="H51" s="386">
        <f>'qt calcs'!E85</f>
        <v>0</v>
      </c>
    </row>
    <row r="52" spans="1:9" ht="14.25" customHeight="1">
      <c r="A52" s="292"/>
      <c r="B52" s="293"/>
      <c r="C52" s="294"/>
      <c r="D52" s="294"/>
      <c r="E52" s="295"/>
      <c r="F52" s="296"/>
      <c r="G52" s="297"/>
      <c r="H52" s="386">
        <f>'qt calcs'!F85</f>
        <v>0</v>
      </c>
    </row>
    <row r="53" spans="1:9" ht="14.25" customHeight="1">
      <c r="A53" s="292"/>
      <c r="B53" s="293"/>
      <c r="C53" s="294"/>
      <c r="D53" s="294"/>
      <c r="E53" s="295"/>
      <c r="F53" s="296"/>
      <c r="G53" s="297"/>
      <c r="H53" s="386">
        <f>'qt calcs'!G85</f>
        <v>0</v>
      </c>
    </row>
    <row r="54" spans="1:9" ht="13.5" customHeight="1">
      <c r="A54" s="292"/>
      <c r="B54" s="293"/>
      <c r="C54" s="294"/>
      <c r="D54" s="294"/>
      <c r="E54" s="295"/>
      <c r="F54" s="296"/>
      <c r="G54" s="297"/>
      <c r="H54" s="386">
        <f>'qt calcs'!H85</f>
        <v>0</v>
      </c>
    </row>
    <row r="55" spans="1:9" ht="14.25" customHeight="1" thickBot="1">
      <c r="A55" s="298"/>
      <c r="B55" s="293"/>
      <c r="C55" s="294"/>
      <c r="D55" s="294"/>
      <c r="E55" s="295"/>
      <c r="F55" s="296"/>
      <c r="G55" s="297"/>
      <c r="H55" s="387">
        <f>'qt calcs'!I85</f>
        <v>0</v>
      </c>
    </row>
    <row r="56" spans="1:9" ht="15.75" customHeight="1" thickBot="1">
      <c r="A56" s="251"/>
      <c r="D56" s="251"/>
      <c r="G56" s="299" t="s">
        <v>31</v>
      </c>
      <c r="H56" s="388">
        <f>SUM(H50:H55)</f>
        <v>0</v>
      </c>
    </row>
    <row r="57" spans="1:9" ht="6" customHeight="1">
      <c r="A57" s="251"/>
      <c r="D57" s="251"/>
      <c r="F57" s="251"/>
      <c r="G57" s="300"/>
      <c r="H57" s="300"/>
    </row>
    <row r="58" spans="1:9" ht="16.5" customHeight="1">
      <c r="A58" s="251" t="s">
        <v>750</v>
      </c>
      <c r="D58" s="251"/>
      <c r="F58" s="251"/>
    </row>
    <row r="59" spans="1:9" ht="3" customHeight="1">
      <c r="A59" s="251"/>
      <c r="D59" s="251"/>
      <c r="F59" s="251"/>
    </row>
    <row r="60" spans="1:9" ht="16.5" customHeight="1">
      <c r="A60" s="277" t="s">
        <v>183</v>
      </c>
      <c r="D60" s="251"/>
      <c r="F60" s="251"/>
    </row>
    <row r="61" spans="1:9" ht="8.25" customHeight="1" thickBot="1">
      <c r="D61" s="251"/>
      <c r="F61" s="251"/>
    </row>
    <row r="62" spans="1:9" ht="54" customHeight="1" thickBot="1">
      <c r="A62" s="281" t="s">
        <v>406</v>
      </c>
      <c r="B62" s="301" t="s">
        <v>407</v>
      </c>
      <c r="C62" s="302" t="s">
        <v>408</v>
      </c>
      <c r="D62" s="303" t="s">
        <v>751</v>
      </c>
      <c r="E62" s="284" t="s">
        <v>481</v>
      </c>
      <c r="F62" s="284" t="s">
        <v>764</v>
      </c>
      <c r="G62" s="285" t="s">
        <v>749</v>
      </c>
      <c r="H62" s="286" t="s">
        <v>748</v>
      </c>
    </row>
    <row r="63" spans="1:9" ht="14.25" customHeight="1">
      <c r="A63" s="287"/>
      <c r="B63" s="304"/>
      <c r="C63" s="305"/>
      <c r="D63" s="289"/>
      <c r="E63" s="289"/>
      <c r="F63" s="289"/>
      <c r="G63" s="291"/>
      <c r="H63" s="389">
        <f>'qt calcs'!C104</f>
        <v>0</v>
      </c>
      <c r="I63" s="306" t="s">
        <v>781</v>
      </c>
    </row>
    <row r="64" spans="1:9" ht="14.25" customHeight="1">
      <c r="A64" s="292"/>
      <c r="B64" s="307"/>
      <c r="C64" s="308"/>
      <c r="D64" s="309"/>
      <c r="E64" s="309"/>
      <c r="F64" s="309"/>
      <c r="G64" s="310"/>
      <c r="H64" s="390">
        <f>'qt calcs'!D104</f>
        <v>0</v>
      </c>
      <c r="I64" s="306" t="s">
        <v>782</v>
      </c>
    </row>
    <row r="65" spans="1:9" ht="14.25" customHeight="1">
      <c r="A65" s="292"/>
      <c r="B65" s="307"/>
      <c r="C65" s="311"/>
      <c r="D65" s="312"/>
      <c r="E65" s="309"/>
      <c r="F65" s="309"/>
      <c r="G65" s="310"/>
      <c r="H65" s="390">
        <f>'qt calcs'!E$104</f>
        <v>0</v>
      </c>
      <c r="I65" s="306" t="s">
        <v>540</v>
      </c>
    </row>
    <row r="66" spans="1:9" ht="14.25" customHeight="1">
      <c r="A66" s="292"/>
      <c r="B66" s="307"/>
      <c r="C66" s="311"/>
      <c r="D66" s="312"/>
      <c r="E66" s="309"/>
      <c r="F66" s="309"/>
      <c r="G66" s="310"/>
      <c r="H66" s="390">
        <f>'qt calcs'!F$104</f>
        <v>0</v>
      </c>
      <c r="I66" s="306" t="s">
        <v>541</v>
      </c>
    </row>
    <row r="67" spans="1:9" ht="14.25" customHeight="1">
      <c r="A67" s="292"/>
      <c r="B67" s="307"/>
      <c r="C67" s="308"/>
      <c r="D67" s="309"/>
      <c r="E67" s="309"/>
      <c r="F67" s="309"/>
      <c r="G67" s="310"/>
      <c r="H67" s="390">
        <f>'qt calcs'!G104</f>
        <v>0</v>
      </c>
      <c r="I67" s="306" t="s">
        <v>783</v>
      </c>
    </row>
    <row r="68" spans="1:9" ht="14.25" customHeight="1" thickBot="1">
      <c r="A68" s="298"/>
      <c r="B68" s="313"/>
      <c r="C68" s="314"/>
      <c r="D68" s="315"/>
      <c r="E68" s="315"/>
      <c r="F68" s="315"/>
      <c r="G68" s="316"/>
      <c r="H68" s="391">
        <f>'qt calcs'!H$104</f>
        <v>0</v>
      </c>
      <c r="I68" s="306" t="s">
        <v>784</v>
      </c>
    </row>
    <row r="69" spans="1:9" ht="15.75" customHeight="1" thickBot="1">
      <c r="A69" s="251"/>
      <c r="D69" s="251"/>
      <c r="G69" s="299" t="s">
        <v>31</v>
      </c>
      <c r="H69" s="388">
        <f>SUM(H63:H68)</f>
        <v>0</v>
      </c>
      <c r="I69" s="306" t="s">
        <v>542</v>
      </c>
    </row>
    <row r="70" spans="1:9" ht="11.25" customHeight="1">
      <c r="A70" s="251"/>
      <c r="D70" s="251"/>
      <c r="F70" s="251"/>
      <c r="G70" s="317"/>
      <c r="H70" s="317"/>
      <c r="I70" s="306" t="s">
        <v>543</v>
      </c>
    </row>
    <row r="71" spans="1:9" ht="13">
      <c r="A71" s="699" t="s">
        <v>535</v>
      </c>
      <c r="B71" s="700"/>
      <c r="C71" s="700"/>
      <c r="D71" s="700"/>
      <c r="E71" s="700"/>
      <c r="F71" s="700"/>
      <c r="I71" s="306" t="s">
        <v>545</v>
      </c>
    </row>
    <row r="72" spans="1:9" ht="3.75" customHeight="1">
      <c r="A72" s="318"/>
      <c r="B72" s="243"/>
      <c r="C72" s="243"/>
      <c r="D72" s="243"/>
      <c r="E72" s="243"/>
      <c r="F72" s="243"/>
      <c r="I72" s="240" t="str">
        <f>'qt calcs'!A99</f>
        <v>Pool car (eg zipcar)</v>
      </c>
    </row>
    <row r="73" spans="1:9">
      <c r="A73" s="319" t="s">
        <v>752</v>
      </c>
      <c r="B73" s="243"/>
      <c r="C73" s="243"/>
      <c r="D73" s="243"/>
      <c r="E73" s="243"/>
      <c r="F73" s="243"/>
    </row>
    <row r="74" spans="1:9" ht="4.5" customHeight="1" thickBot="1">
      <c r="A74" s="318"/>
      <c r="B74" s="243"/>
      <c r="C74" s="243"/>
      <c r="D74" s="243"/>
      <c r="E74" s="243"/>
      <c r="F74" s="243"/>
    </row>
    <row r="75" spans="1:9" ht="54.75" customHeight="1" thickBot="1">
      <c r="A75" s="281" t="s">
        <v>406</v>
      </c>
      <c r="B75" s="282" t="s">
        <v>407</v>
      </c>
      <c r="C75" s="283" t="s">
        <v>408</v>
      </c>
      <c r="D75" s="283" t="s">
        <v>751</v>
      </c>
      <c r="E75" s="284" t="s">
        <v>481</v>
      </c>
      <c r="F75" s="286" t="s">
        <v>748</v>
      </c>
      <c r="G75" s="240"/>
      <c r="H75" s="240"/>
    </row>
    <row r="76" spans="1:9" ht="13">
      <c r="A76" s="287"/>
      <c r="B76" s="288"/>
      <c r="C76" s="289"/>
      <c r="D76" s="289"/>
      <c r="E76" s="290"/>
      <c r="F76" s="385">
        <f>'qt calcs'!B121</f>
        <v>0</v>
      </c>
      <c r="G76" s="240"/>
      <c r="H76" s="240"/>
      <c r="I76" s="240" t="s">
        <v>785</v>
      </c>
    </row>
    <row r="77" spans="1:9" ht="13">
      <c r="A77" s="292"/>
      <c r="B77" s="293"/>
      <c r="C77" s="294"/>
      <c r="D77" s="294"/>
      <c r="E77" s="295"/>
      <c r="F77" s="386">
        <f>'qt calcs'!C121</f>
        <v>0</v>
      </c>
      <c r="G77" s="240"/>
      <c r="H77" s="240"/>
      <c r="I77" s="240" t="s">
        <v>786</v>
      </c>
    </row>
    <row r="78" spans="1:9" ht="13">
      <c r="A78" s="292"/>
      <c r="B78" s="293"/>
      <c r="C78" s="294"/>
      <c r="D78" s="294"/>
      <c r="E78" s="295"/>
      <c r="F78" s="386">
        <f>'qt calcs'!D121</f>
        <v>0</v>
      </c>
      <c r="G78" s="240"/>
      <c r="H78" s="240"/>
      <c r="I78" s="240" t="s">
        <v>787</v>
      </c>
    </row>
    <row r="79" spans="1:9" ht="13">
      <c r="A79" s="320"/>
      <c r="B79" s="321"/>
      <c r="C79" s="309"/>
      <c r="D79" s="309"/>
      <c r="E79" s="295"/>
      <c r="F79" s="392">
        <f>'qt calcs'!E121</f>
        <v>0</v>
      </c>
      <c r="G79" s="240"/>
      <c r="H79" s="240"/>
      <c r="I79" s="240" t="s">
        <v>788</v>
      </c>
    </row>
    <row r="80" spans="1:9" ht="13">
      <c r="A80" s="320"/>
      <c r="B80" s="321"/>
      <c r="C80" s="309"/>
      <c r="D80" s="309"/>
      <c r="E80" s="295"/>
      <c r="F80" s="392">
        <f>'qt calcs'!F121</f>
        <v>0</v>
      </c>
      <c r="G80" s="240"/>
      <c r="H80" s="240"/>
      <c r="I80" s="240" t="s">
        <v>789</v>
      </c>
    </row>
    <row r="81" spans="1:9" ht="13">
      <c r="A81" s="320"/>
      <c r="B81" s="321"/>
      <c r="C81" s="309"/>
      <c r="D81" s="309"/>
      <c r="E81" s="295"/>
      <c r="F81" s="392">
        <f>'qt calcs'!G121</f>
        <v>0</v>
      </c>
      <c r="G81" s="240"/>
      <c r="H81" s="240"/>
      <c r="I81" s="240" t="s">
        <v>239</v>
      </c>
    </row>
    <row r="82" spans="1:9" ht="13">
      <c r="A82" s="320"/>
      <c r="B82" s="321"/>
      <c r="C82" s="309"/>
      <c r="D82" s="309"/>
      <c r="E82" s="295"/>
      <c r="F82" s="392">
        <f>'qt calcs'!H121</f>
        <v>0</v>
      </c>
      <c r="G82" s="240"/>
      <c r="H82" s="240"/>
      <c r="I82" s="240" t="s">
        <v>424</v>
      </c>
    </row>
    <row r="83" spans="1:9" ht="13">
      <c r="A83" s="322"/>
      <c r="B83" s="323"/>
      <c r="C83" s="324"/>
      <c r="D83" s="324"/>
      <c r="E83" s="325"/>
      <c r="F83" s="393">
        <f>'qt calcs'!I121</f>
        <v>0</v>
      </c>
      <c r="G83" s="240"/>
      <c r="H83" s="240"/>
      <c r="I83" s="240" t="s">
        <v>261</v>
      </c>
    </row>
    <row r="84" spans="1:9" ht="13">
      <c r="A84" s="320"/>
      <c r="B84" s="321"/>
      <c r="C84" s="309"/>
      <c r="D84" s="309"/>
      <c r="E84" s="295"/>
      <c r="F84" s="392">
        <f>'qt calcs'!J121</f>
        <v>0</v>
      </c>
      <c r="G84" s="240"/>
      <c r="H84" s="240"/>
      <c r="I84" s="240" t="s">
        <v>790</v>
      </c>
    </row>
    <row r="85" spans="1:9" ht="13.5" thickBot="1">
      <c r="A85" s="320"/>
      <c r="B85" s="321"/>
      <c r="C85" s="309"/>
      <c r="D85" s="309"/>
      <c r="E85" s="325"/>
      <c r="F85" s="393">
        <f>'qt calcs'!K121</f>
        <v>0</v>
      </c>
      <c r="G85" s="240"/>
      <c r="H85" s="240"/>
      <c r="I85" s="240" t="s">
        <v>791</v>
      </c>
    </row>
    <row r="86" spans="1:9" ht="13.5" thickBot="1">
      <c r="A86" s="326"/>
      <c r="B86" s="327"/>
      <c r="C86" s="327"/>
      <c r="D86" s="327"/>
      <c r="E86" s="328" t="s">
        <v>488</v>
      </c>
      <c r="F86" s="394">
        <f>SUM(F76:F83)</f>
        <v>0</v>
      </c>
      <c r="G86" s="240"/>
      <c r="H86" s="240"/>
      <c r="I86" s="240" t="s">
        <v>792</v>
      </c>
    </row>
    <row r="87" spans="1:9" ht="26.25" customHeight="1" thickBot="1">
      <c r="A87" s="269"/>
      <c r="B87" s="329"/>
      <c r="C87" s="329"/>
      <c r="D87" s="329"/>
      <c r="E87" s="330"/>
      <c r="F87" s="331" t="s">
        <v>753</v>
      </c>
      <c r="G87" s="240"/>
      <c r="H87" s="240"/>
      <c r="I87" s="240" t="s">
        <v>178</v>
      </c>
    </row>
    <row r="88" spans="1:9" ht="14">
      <c r="A88" s="332" t="s">
        <v>69</v>
      </c>
      <c r="B88" s="333"/>
      <c r="C88" s="334"/>
      <c r="D88" s="329"/>
      <c r="E88" s="335" t="s">
        <v>250</v>
      </c>
      <c r="F88" s="395">
        <f>'qt calcs'!B126/1000</f>
        <v>0</v>
      </c>
      <c r="G88" s="334"/>
      <c r="H88" s="240"/>
    </row>
    <row r="89" spans="1:9" ht="13">
      <c r="A89" s="334"/>
      <c r="B89" s="336"/>
      <c r="C89" s="334"/>
      <c r="D89" s="329"/>
      <c r="E89" s="335" t="s">
        <v>63</v>
      </c>
      <c r="F89" s="396">
        <f>-'qt calcs'!J84/1000</f>
        <v>0</v>
      </c>
      <c r="G89" s="334"/>
      <c r="H89" s="240"/>
    </row>
    <row r="90" spans="1:9" ht="13">
      <c r="A90" s="334"/>
      <c r="B90" s="336"/>
      <c r="C90" s="334"/>
      <c r="D90" s="329"/>
      <c r="E90" s="335" t="s">
        <v>64</v>
      </c>
      <c r="F90" s="396">
        <f>H69/1000</f>
        <v>0</v>
      </c>
      <c r="G90" s="334"/>
      <c r="H90" s="240"/>
    </row>
    <row r="91" spans="1:9" ht="13.5" thickBot="1">
      <c r="A91" s="334"/>
      <c r="B91" s="336"/>
      <c r="C91" s="334"/>
      <c r="D91" s="329"/>
      <c r="E91" s="335" t="s">
        <v>144</v>
      </c>
      <c r="F91" s="397">
        <f>F86/1000</f>
        <v>0</v>
      </c>
      <c r="G91" s="334"/>
      <c r="H91" s="240"/>
    </row>
    <row r="92" spans="1:9" ht="13.5" thickBot="1">
      <c r="A92" s="337"/>
      <c r="B92" s="338"/>
      <c r="C92" s="329"/>
      <c r="D92" s="339"/>
      <c r="E92" s="340" t="s">
        <v>754</v>
      </c>
      <c r="F92" s="398">
        <f>SUM(F88:F91)</f>
        <v>0</v>
      </c>
      <c r="G92" s="329"/>
      <c r="H92" s="240"/>
    </row>
    <row r="93" spans="1:9" ht="15.75" customHeight="1">
      <c r="A93" s="341" t="s">
        <v>755</v>
      </c>
      <c r="B93" s="329"/>
      <c r="C93" s="329"/>
      <c r="D93" s="329"/>
      <c r="E93" s="329"/>
      <c r="F93" s="329"/>
      <c r="G93" s="240"/>
      <c r="H93" s="240"/>
    </row>
    <row r="94" spans="1:9" ht="11.25" customHeight="1">
      <c r="A94" s="342"/>
      <c r="B94" s="329"/>
      <c r="C94" s="329"/>
      <c r="D94" s="329"/>
      <c r="E94" s="329"/>
      <c r="F94" s="329"/>
      <c r="G94" s="343"/>
      <c r="H94" s="343"/>
    </row>
    <row r="95" spans="1:9" ht="14.25" customHeight="1">
      <c r="A95" s="251" t="s">
        <v>534</v>
      </c>
      <c r="B95" s="329"/>
      <c r="C95" s="329"/>
      <c r="D95" s="329"/>
      <c r="E95" s="329"/>
      <c r="F95" s="329"/>
      <c r="G95" s="343"/>
      <c r="H95" s="343"/>
    </row>
    <row r="96" spans="1:9" ht="45.75" customHeight="1">
      <c r="A96" s="693" t="s">
        <v>756</v>
      </c>
      <c r="B96" s="698"/>
      <c r="C96" s="698"/>
      <c r="D96" s="698"/>
      <c r="E96" s="698"/>
      <c r="F96" s="698"/>
      <c r="G96" s="698"/>
      <c r="H96" s="343"/>
    </row>
    <row r="97" spans="1:8" ht="14.25" customHeight="1">
      <c r="A97" s="702" t="s">
        <v>184</v>
      </c>
      <c r="B97" s="695"/>
      <c r="C97" s="695"/>
      <c r="D97" s="695"/>
      <c r="E97" s="695"/>
      <c r="F97" s="345">
        <f>'qt calcs'!B127</f>
        <v>0</v>
      </c>
      <c r="G97" s="346" t="s">
        <v>185</v>
      </c>
      <c r="H97" s="343"/>
    </row>
    <row r="98" spans="1:8" ht="4.5" customHeight="1">
      <c r="A98" s="251"/>
      <c r="B98" s="329"/>
      <c r="C98" s="329"/>
      <c r="D98" s="329"/>
      <c r="E98" s="329"/>
      <c r="F98" s="329"/>
      <c r="G98" s="343"/>
      <c r="H98" s="343"/>
    </row>
    <row r="99" spans="1:8" ht="6" customHeight="1">
      <c r="A99" s="251"/>
      <c r="B99" s="329"/>
      <c r="C99" s="329"/>
      <c r="D99" s="329"/>
      <c r="E99" s="329"/>
      <c r="F99" s="329"/>
      <c r="G99" s="343"/>
      <c r="H99" s="343"/>
    </row>
    <row r="100" spans="1:8" ht="12.75" customHeight="1">
      <c r="A100" s="251" t="s">
        <v>555</v>
      </c>
      <c r="B100" s="329"/>
      <c r="C100" s="329"/>
      <c r="D100" s="329"/>
      <c r="E100" s="329"/>
      <c r="F100" s="329"/>
      <c r="G100" s="343"/>
      <c r="H100" s="343"/>
    </row>
    <row r="101" spans="1:8" ht="32.25" customHeight="1">
      <c r="A101" s="692" t="s">
        <v>757</v>
      </c>
      <c r="B101" s="692"/>
      <c r="C101" s="692"/>
      <c r="D101" s="692"/>
      <c r="E101" s="692"/>
      <c r="F101" s="692"/>
      <c r="G101" s="692"/>
      <c r="H101" s="279"/>
    </row>
    <row r="102" spans="1:8" ht="20.25" customHeight="1" thickBot="1">
      <c r="A102" s="701" t="s">
        <v>758</v>
      </c>
      <c r="B102" s="701"/>
      <c r="C102" s="701"/>
      <c r="D102" s="701"/>
      <c r="E102" s="701"/>
      <c r="F102" s="701"/>
      <c r="G102" s="701"/>
      <c r="H102" s="701"/>
    </row>
    <row r="103" spans="1:8" ht="54" customHeight="1" thickBot="1">
      <c r="A103" s="281" t="s">
        <v>759</v>
      </c>
      <c r="B103" s="282" t="s">
        <v>760</v>
      </c>
      <c r="C103" s="283" t="s">
        <v>408</v>
      </c>
      <c r="D103" s="283" t="s">
        <v>751</v>
      </c>
      <c r="E103" s="284" t="s">
        <v>481</v>
      </c>
      <c r="F103" s="284" t="s">
        <v>292</v>
      </c>
      <c r="G103" s="285" t="s">
        <v>749</v>
      </c>
      <c r="H103" s="286" t="s">
        <v>761</v>
      </c>
    </row>
    <row r="104" spans="1:8" ht="14.25" customHeight="1">
      <c r="A104" s="287"/>
      <c r="B104" s="288"/>
      <c r="C104" s="289"/>
      <c r="D104" s="289"/>
      <c r="E104" s="290"/>
      <c r="F104" s="290"/>
      <c r="G104" s="291"/>
      <c r="H104" s="385">
        <f>-'qt calcs'!D141</f>
        <v>0</v>
      </c>
    </row>
    <row r="105" spans="1:8" ht="14.25" customHeight="1">
      <c r="A105" s="292"/>
      <c r="B105" s="293"/>
      <c r="C105" s="294"/>
      <c r="D105" s="294"/>
      <c r="E105" s="295"/>
      <c r="F105" s="296"/>
      <c r="G105" s="297"/>
      <c r="H105" s="386">
        <f>-'qt calcs'!E$141</f>
        <v>0</v>
      </c>
    </row>
    <row r="106" spans="1:8" ht="14.25" customHeight="1">
      <c r="A106" s="292"/>
      <c r="B106" s="293"/>
      <c r="C106" s="294"/>
      <c r="D106" s="294"/>
      <c r="E106" s="295"/>
      <c r="F106" s="296"/>
      <c r="G106" s="297"/>
      <c r="H106" s="386">
        <f>-'qt calcs'!F$141</f>
        <v>0</v>
      </c>
    </row>
    <row r="107" spans="1:8" ht="14.25" customHeight="1">
      <c r="A107" s="292"/>
      <c r="B107" s="293"/>
      <c r="C107" s="294"/>
      <c r="D107" s="294"/>
      <c r="E107" s="295"/>
      <c r="F107" s="296"/>
      <c r="G107" s="297"/>
      <c r="H107" s="386">
        <f>-'qt calcs'!G$141</f>
        <v>0</v>
      </c>
    </row>
    <row r="108" spans="1:8" ht="13.5" customHeight="1">
      <c r="A108" s="320"/>
      <c r="B108" s="321"/>
      <c r="C108" s="309"/>
      <c r="D108" s="309"/>
      <c r="E108" s="295"/>
      <c r="F108" s="295"/>
      <c r="G108" s="310"/>
      <c r="H108" s="386">
        <f>-'qt calcs'!H$141</f>
        <v>0</v>
      </c>
    </row>
    <row r="109" spans="1:8" ht="14.25" customHeight="1" thickBot="1">
      <c r="A109" s="298"/>
      <c r="B109" s="347"/>
      <c r="C109" s="348"/>
      <c r="D109" s="348"/>
      <c r="E109" s="349"/>
      <c r="F109" s="350"/>
      <c r="G109" s="351"/>
      <c r="H109" s="386">
        <f>-'qt calcs'!I$141</f>
        <v>0</v>
      </c>
    </row>
    <row r="110" spans="1:8" ht="15.75" customHeight="1" thickBot="1">
      <c r="A110" s="251"/>
      <c r="D110" s="251"/>
      <c r="G110" s="299" t="s">
        <v>31</v>
      </c>
      <c r="H110" s="388">
        <f>SUM(H104:H109)</f>
        <v>0</v>
      </c>
    </row>
    <row r="111" spans="1:8" ht="41.25" customHeight="1">
      <c r="A111" s="686" t="s">
        <v>763</v>
      </c>
      <c r="B111" s="650"/>
      <c r="C111" s="650"/>
      <c r="D111" s="650"/>
      <c r="E111" s="650"/>
      <c r="F111" s="650"/>
      <c r="G111" s="244"/>
      <c r="H111" s="244"/>
    </row>
    <row r="112" spans="1:8" ht="23.25" customHeight="1">
      <c r="A112" s="251" t="s">
        <v>556</v>
      </c>
      <c r="D112" s="251"/>
      <c r="F112" s="251"/>
    </row>
    <row r="113" spans="1:9" ht="3" customHeight="1">
      <c r="A113" s="251"/>
      <c r="D113" s="251"/>
      <c r="F113" s="251"/>
    </row>
    <row r="114" spans="1:9" ht="16.5" customHeight="1">
      <c r="A114" s="277" t="s">
        <v>762</v>
      </c>
      <c r="D114" s="251"/>
      <c r="F114" s="251"/>
    </row>
    <row r="115" spans="1:9" ht="8.25" customHeight="1" thickBot="1">
      <c r="D115" s="251"/>
      <c r="F115" s="251"/>
    </row>
    <row r="116" spans="1:9" ht="54" customHeight="1" thickBot="1">
      <c r="A116" s="281" t="s">
        <v>406</v>
      </c>
      <c r="B116" s="282" t="s">
        <v>407</v>
      </c>
      <c r="C116" s="283" t="s">
        <v>408</v>
      </c>
      <c r="D116" s="283" t="s">
        <v>751</v>
      </c>
      <c r="E116" s="284" t="s">
        <v>481</v>
      </c>
      <c r="F116" s="284" t="s">
        <v>764</v>
      </c>
      <c r="G116" s="285" t="s">
        <v>749</v>
      </c>
      <c r="H116" s="286" t="s">
        <v>748</v>
      </c>
    </row>
    <row r="117" spans="1:9" ht="14.25" customHeight="1">
      <c r="A117" s="287"/>
      <c r="B117" s="352"/>
      <c r="C117" s="289"/>
      <c r="D117" s="289"/>
      <c r="E117" s="290"/>
      <c r="F117" s="290"/>
      <c r="G117" s="291"/>
      <c r="H117" s="385">
        <f>'qt calcs'!C164</f>
        <v>0</v>
      </c>
    </row>
    <row r="118" spans="1:9" ht="14.25" customHeight="1">
      <c r="A118" s="292"/>
      <c r="B118" s="353"/>
      <c r="C118" s="294"/>
      <c r="D118" s="294"/>
      <c r="E118" s="296"/>
      <c r="F118" s="296"/>
      <c r="G118" s="297"/>
      <c r="H118" s="386">
        <f>'qt calcs'!D164</f>
        <v>0</v>
      </c>
      <c r="I118" s="306" t="s">
        <v>781</v>
      </c>
    </row>
    <row r="119" spans="1:9" ht="14.25" customHeight="1">
      <c r="A119" s="292"/>
      <c r="B119" s="353"/>
      <c r="C119" s="294"/>
      <c r="D119" s="294"/>
      <c r="E119" s="296"/>
      <c r="F119" s="296"/>
      <c r="G119" s="297"/>
      <c r="H119" s="386">
        <f>'qt calcs'!E164</f>
        <v>0</v>
      </c>
      <c r="I119" s="306" t="s">
        <v>782</v>
      </c>
    </row>
    <row r="120" spans="1:9" ht="14.25" customHeight="1">
      <c r="A120" s="292"/>
      <c r="B120" s="353"/>
      <c r="C120" s="294"/>
      <c r="D120" s="294"/>
      <c r="E120" s="295"/>
      <c r="F120" s="296"/>
      <c r="G120" s="297"/>
      <c r="H120" s="386">
        <f>'qt calcs'!F164</f>
        <v>0</v>
      </c>
      <c r="I120" s="306" t="s">
        <v>540</v>
      </c>
    </row>
    <row r="121" spans="1:9" ht="14.25" customHeight="1">
      <c r="A121" s="292"/>
      <c r="B121" s="353"/>
      <c r="C121" s="294"/>
      <c r="D121" s="294"/>
      <c r="E121" s="295"/>
      <c r="F121" s="296"/>
      <c r="G121" s="297"/>
      <c r="H121" s="386">
        <f>'qt calcs'!G164</f>
        <v>0</v>
      </c>
      <c r="I121" s="306" t="s">
        <v>541</v>
      </c>
    </row>
    <row r="122" spans="1:9" ht="14.25" customHeight="1" thickBot="1">
      <c r="A122" s="298"/>
      <c r="B122" s="354"/>
      <c r="C122" s="315"/>
      <c r="D122" s="315"/>
      <c r="E122" s="349"/>
      <c r="F122" s="349"/>
      <c r="G122" s="316"/>
      <c r="H122" s="387">
        <f>'qt calcs'!H164</f>
        <v>0</v>
      </c>
      <c r="I122" s="306" t="s">
        <v>783</v>
      </c>
    </row>
    <row r="123" spans="1:9" ht="15.75" customHeight="1" thickBot="1">
      <c r="A123" s="251"/>
      <c r="D123" s="251"/>
      <c r="G123" s="299" t="s">
        <v>31</v>
      </c>
      <c r="H123" s="388">
        <f>SUM(H117:H122)</f>
        <v>0</v>
      </c>
      <c r="I123" s="306" t="s">
        <v>784</v>
      </c>
    </row>
    <row r="124" spans="1:9" ht="6" customHeight="1">
      <c r="A124" s="251"/>
      <c r="D124" s="251"/>
      <c r="F124" s="251"/>
      <c r="G124" s="317"/>
      <c r="H124" s="317"/>
      <c r="I124" s="306" t="s">
        <v>542</v>
      </c>
    </row>
    <row r="125" spans="1:9" ht="3.75" customHeight="1">
      <c r="A125" s="699"/>
      <c r="B125" s="700"/>
      <c r="C125" s="700"/>
      <c r="D125" s="700"/>
      <c r="E125" s="700"/>
      <c r="F125" s="700"/>
      <c r="I125" s="306" t="s">
        <v>543</v>
      </c>
    </row>
    <row r="126" spans="1:9" ht="9.75" customHeight="1">
      <c r="A126" s="251"/>
      <c r="D126" s="251"/>
      <c r="F126" s="251"/>
      <c r="G126" s="300"/>
      <c r="H126" s="300"/>
      <c r="I126" s="306" t="s">
        <v>545</v>
      </c>
    </row>
    <row r="127" spans="1:9" ht="13">
      <c r="A127" s="699" t="s">
        <v>765</v>
      </c>
      <c r="B127" s="700"/>
      <c r="C127" s="700"/>
      <c r="D127" s="700"/>
      <c r="E127" s="700"/>
      <c r="F127" s="700"/>
      <c r="I127" s="240" t="s">
        <v>60</v>
      </c>
    </row>
    <row r="128" spans="1:9" ht="9" customHeight="1">
      <c r="A128" s="318"/>
      <c r="B128" s="243"/>
      <c r="C128" s="243"/>
      <c r="D128" s="243"/>
      <c r="E128" s="243"/>
      <c r="F128" s="243"/>
    </row>
    <row r="129" spans="1:8">
      <c r="A129" s="319" t="s">
        <v>766</v>
      </c>
      <c r="B129" s="243"/>
      <c r="C129" s="243"/>
      <c r="D129" s="243"/>
      <c r="E129" s="243"/>
      <c r="F129" s="243"/>
    </row>
    <row r="130" spans="1:8" ht="5.25" customHeight="1" thickBot="1">
      <c r="A130" s="318"/>
      <c r="B130" s="243"/>
      <c r="C130" s="243"/>
      <c r="D130" s="243"/>
      <c r="E130" s="243"/>
      <c r="F130" s="243"/>
    </row>
    <row r="131" spans="1:8" ht="54" customHeight="1" thickBot="1">
      <c r="A131" s="281" t="s">
        <v>406</v>
      </c>
      <c r="B131" s="282" t="s">
        <v>407</v>
      </c>
      <c r="C131" s="283" t="s">
        <v>408</v>
      </c>
      <c r="D131" s="283" t="s">
        <v>751</v>
      </c>
      <c r="E131" s="284" t="s">
        <v>481</v>
      </c>
      <c r="F131" s="355" t="s">
        <v>748</v>
      </c>
    </row>
    <row r="132" spans="1:8" ht="13">
      <c r="A132" s="287"/>
      <c r="B132" s="288"/>
      <c r="C132" s="289"/>
      <c r="D132" s="289"/>
      <c r="E132" s="290"/>
      <c r="F132" s="385">
        <f>'qt calcs'!C$184</f>
        <v>0</v>
      </c>
      <c r="G132" s="343"/>
      <c r="H132" s="343"/>
    </row>
    <row r="133" spans="1:8" ht="13">
      <c r="A133" s="292"/>
      <c r="B133" s="293"/>
      <c r="C133" s="294"/>
      <c r="D133" s="294"/>
      <c r="E133" s="296"/>
      <c r="F133" s="392">
        <f>'qt calcs'!D$184</f>
        <v>0</v>
      </c>
      <c r="G133" s="343"/>
      <c r="H133" s="343"/>
    </row>
    <row r="134" spans="1:8" ht="13">
      <c r="A134" s="292"/>
      <c r="B134" s="293"/>
      <c r="C134" s="294"/>
      <c r="D134" s="294"/>
      <c r="E134" s="296"/>
      <c r="F134" s="392">
        <f>'qt calcs'!E$184</f>
        <v>0</v>
      </c>
      <c r="G134" s="343"/>
      <c r="H134" s="343"/>
    </row>
    <row r="135" spans="1:8" ht="13">
      <c r="A135" s="320"/>
      <c r="B135" s="321"/>
      <c r="C135" s="309"/>
      <c r="D135" s="309"/>
      <c r="E135" s="295"/>
      <c r="F135" s="392">
        <f>'qt calcs'!F$184</f>
        <v>0</v>
      </c>
      <c r="G135" s="343"/>
      <c r="H135" s="343"/>
    </row>
    <row r="136" spans="1:8" ht="13">
      <c r="A136" s="320"/>
      <c r="B136" s="321"/>
      <c r="C136" s="309"/>
      <c r="D136" s="309"/>
      <c r="E136" s="295"/>
      <c r="F136" s="392">
        <f>'qt calcs'!G$184</f>
        <v>0</v>
      </c>
      <c r="G136" s="343"/>
      <c r="H136" s="343"/>
    </row>
    <row r="137" spans="1:8" ht="13">
      <c r="A137" s="320"/>
      <c r="B137" s="321"/>
      <c r="C137" s="309"/>
      <c r="D137" s="309"/>
      <c r="E137" s="295"/>
      <c r="F137" s="392">
        <f>'qt calcs'!H$184</f>
        <v>0</v>
      </c>
      <c r="G137" s="343"/>
      <c r="H137" s="343"/>
    </row>
    <row r="138" spans="1:8" ht="13">
      <c r="A138" s="320"/>
      <c r="B138" s="321"/>
      <c r="C138" s="309"/>
      <c r="D138" s="309"/>
      <c r="E138" s="295"/>
      <c r="F138" s="392">
        <f>'qt calcs'!I$184</f>
        <v>0</v>
      </c>
      <c r="G138" s="343"/>
      <c r="H138" s="343"/>
    </row>
    <row r="139" spans="1:8" ht="13">
      <c r="A139" s="320"/>
      <c r="B139" s="321"/>
      <c r="C139" s="309"/>
      <c r="D139" s="309"/>
      <c r="E139" s="295"/>
      <c r="F139" s="392">
        <f>'qt calcs'!J$184</f>
        <v>0</v>
      </c>
      <c r="G139" s="343"/>
      <c r="H139" s="343"/>
    </row>
    <row r="140" spans="1:8" ht="13.5" thickBot="1">
      <c r="A140" s="320"/>
      <c r="B140" s="321"/>
      <c r="C140" s="309"/>
      <c r="D140" s="309"/>
      <c r="E140" s="325"/>
      <c r="F140" s="392">
        <f>'qt calcs'!K$184</f>
        <v>0</v>
      </c>
      <c r="G140" s="343"/>
      <c r="H140" s="343"/>
    </row>
    <row r="141" spans="1:8" ht="13.5" thickBot="1">
      <c r="A141" s="326"/>
      <c r="B141" s="327"/>
      <c r="C141" s="327"/>
      <c r="D141" s="327"/>
      <c r="E141" s="328" t="s">
        <v>31</v>
      </c>
      <c r="F141" s="394">
        <f>SUM(F132:F140)</f>
        <v>0</v>
      </c>
      <c r="G141" s="343"/>
      <c r="H141" s="343"/>
    </row>
    <row r="142" spans="1:8" ht="13">
      <c r="A142" s="269"/>
      <c r="B142" s="329"/>
      <c r="C142" s="329"/>
      <c r="D142" s="329"/>
      <c r="E142" s="330"/>
      <c r="F142" s="356"/>
      <c r="G142" s="343"/>
      <c r="H142" s="343"/>
    </row>
    <row r="143" spans="1:8" ht="15.5" thickBot="1">
      <c r="A143" s="357" t="s">
        <v>767</v>
      </c>
      <c r="B143" s="333"/>
      <c r="C143" s="334"/>
      <c r="D143" s="329"/>
      <c r="E143" s="358"/>
      <c r="F143" s="346" t="s">
        <v>186</v>
      </c>
      <c r="G143" s="343"/>
      <c r="H143" s="343"/>
    </row>
    <row r="144" spans="1:8" ht="14">
      <c r="A144" s="357"/>
      <c r="B144" s="333"/>
      <c r="C144" s="334"/>
      <c r="D144" s="329"/>
      <c r="E144" s="335" t="s">
        <v>80</v>
      </c>
      <c r="F144" s="395">
        <f>F97/1000</f>
        <v>0</v>
      </c>
      <c r="G144" s="343"/>
      <c r="H144" s="343"/>
    </row>
    <row r="145" spans="1:13" ht="13">
      <c r="A145" s="334"/>
      <c r="B145" s="336"/>
      <c r="C145" s="334"/>
      <c r="D145" s="329"/>
      <c r="E145" s="335" t="s">
        <v>63</v>
      </c>
      <c r="F145" s="396">
        <f>H110/1000</f>
        <v>0</v>
      </c>
      <c r="G145" s="343"/>
      <c r="H145" s="343"/>
    </row>
    <row r="146" spans="1:13" ht="13">
      <c r="A146" s="334"/>
      <c r="B146" s="336"/>
      <c r="C146" s="334"/>
      <c r="D146" s="329"/>
      <c r="E146" s="335" t="s">
        <v>64</v>
      </c>
      <c r="F146" s="396">
        <f>H123/1000</f>
        <v>0</v>
      </c>
      <c r="G146" s="343"/>
      <c r="H146" s="343"/>
    </row>
    <row r="147" spans="1:13" ht="13.5" thickBot="1">
      <c r="A147" s="334"/>
      <c r="B147" s="336"/>
      <c r="C147" s="334"/>
      <c r="D147" s="329"/>
      <c r="E147" s="335" t="s">
        <v>144</v>
      </c>
      <c r="F147" s="399">
        <f>F141/1000</f>
        <v>0</v>
      </c>
      <c r="G147" s="343"/>
      <c r="H147" s="343"/>
    </row>
    <row r="148" spans="1:13" ht="15" customHeight="1" thickBot="1">
      <c r="A148" s="337"/>
      <c r="B148" s="338"/>
      <c r="C148" s="329"/>
      <c r="D148" s="339"/>
      <c r="E148" s="340" t="s">
        <v>187</v>
      </c>
      <c r="F148" s="400">
        <f>SUM(F144:F147)</f>
        <v>0</v>
      </c>
      <c r="G148" s="346"/>
      <c r="H148" s="343"/>
    </row>
    <row r="149" spans="1:13" ht="15" customHeight="1"/>
    <row r="150" spans="1:13" ht="16.5">
      <c r="A150" s="249" t="s">
        <v>561</v>
      </c>
      <c r="E150" s="330"/>
      <c r="F150" s="330"/>
      <c r="G150" s="359"/>
      <c r="H150" s="359"/>
    </row>
    <row r="151" spans="1:13" ht="8.25" customHeight="1">
      <c r="A151" s="249"/>
      <c r="E151" s="330"/>
      <c r="F151" s="330"/>
      <c r="G151" s="359"/>
      <c r="H151" s="359"/>
    </row>
    <row r="152" spans="1:13" ht="32.25" customHeight="1">
      <c r="A152" s="697" t="s">
        <v>558</v>
      </c>
      <c r="B152" s="697"/>
      <c r="C152" s="697"/>
      <c r="D152" s="697"/>
      <c r="E152" s="697"/>
      <c r="F152" s="697"/>
      <c r="G152" s="359"/>
      <c r="H152" s="359"/>
    </row>
    <row r="153" spans="1:13">
      <c r="A153" s="277" t="s">
        <v>557</v>
      </c>
      <c r="B153" s="277"/>
      <c r="C153" s="277"/>
      <c r="D153" s="360" t="s">
        <v>768</v>
      </c>
      <c r="E153" s="277"/>
      <c r="F153" s="277"/>
    </row>
    <row r="154" spans="1:13" ht="6" customHeight="1" thickBot="1"/>
    <row r="155" spans="1:13" s="364" customFormat="1" ht="33.5" thickBot="1">
      <c r="A155" s="281" t="s">
        <v>406</v>
      </c>
      <c r="B155" s="282" t="s">
        <v>769</v>
      </c>
      <c r="C155" s="361" t="s">
        <v>383</v>
      </c>
      <c r="D155" s="361" t="s">
        <v>722</v>
      </c>
      <c r="E155" s="361" t="s">
        <v>458</v>
      </c>
      <c r="F155" s="362" t="s">
        <v>770</v>
      </c>
      <c r="G155" s="363" t="s">
        <v>748</v>
      </c>
      <c r="I155" s="239"/>
      <c r="J155" s="239"/>
      <c r="K155" s="239"/>
      <c r="L155" s="240"/>
      <c r="M155" s="240"/>
    </row>
    <row r="156" spans="1:13" ht="13">
      <c r="A156" s="365"/>
      <c r="B156" s="366"/>
      <c r="C156" s="289"/>
      <c r="D156" s="367"/>
      <c r="E156" s="289"/>
      <c r="F156" s="291"/>
      <c r="G156" s="385">
        <f>IF(D156="km",'qt calcs'!C197,'qt calcs'!C197*1.609)</f>
        <v>0</v>
      </c>
      <c r="I156" s="364"/>
      <c r="J156" s="239" t="s">
        <v>457</v>
      </c>
      <c r="K156" s="239"/>
      <c r="M156" s="240"/>
    </row>
    <row r="157" spans="1:13" ht="13">
      <c r="A157" s="368"/>
      <c r="B157" s="369"/>
      <c r="C157" s="309"/>
      <c r="D157" s="370"/>
      <c r="E157" s="309"/>
      <c r="F157" s="310"/>
      <c r="G157" s="392">
        <f>IF(D157="km",'qt calcs'!D197,'qt calcs'!D197*1.609)</f>
        <v>0</v>
      </c>
      <c r="I157" s="239"/>
      <c r="J157" s="239" t="s">
        <v>771</v>
      </c>
      <c r="K157" s="239"/>
      <c r="M157" s="240"/>
    </row>
    <row r="158" spans="1:13" ht="13">
      <c r="A158" s="368"/>
      <c r="B158" s="369"/>
      <c r="C158" s="309"/>
      <c r="D158" s="370"/>
      <c r="E158" s="309"/>
      <c r="F158" s="310"/>
      <c r="G158" s="392">
        <f>IF(D158="km",'qt calcs'!E197,'qt calcs'!E197*1.609)</f>
        <v>0</v>
      </c>
      <c r="I158" s="239"/>
      <c r="J158" s="239" t="s">
        <v>772</v>
      </c>
      <c r="K158" s="239"/>
      <c r="M158" s="240"/>
    </row>
    <row r="159" spans="1:13" ht="13">
      <c r="A159" s="368"/>
      <c r="B159" s="369"/>
      <c r="C159" s="309"/>
      <c r="D159" s="370"/>
      <c r="E159" s="309"/>
      <c r="F159" s="310"/>
      <c r="G159" s="392">
        <f>IF(D159="km",'qt calcs'!F197,'qt calcs'!F197*1.609)</f>
        <v>0</v>
      </c>
      <c r="I159" s="239"/>
      <c r="J159" s="239" t="s">
        <v>773</v>
      </c>
      <c r="K159" s="239"/>
      <c r="M159" s="240"/>
    </row>
    <row r="160" spans="1:13" ht="13">
      <c r="A160" s="368"/>
      <c r="B160" s="369"/>
      <c r="C160" s="309"/>
      <c r="D160" s="370"/>
      <c r="E160" s="309"/>
      <c r="F160" s="310"/>
      <c r="G160" s="392">
        <f>IF(D160="km",'qt calcs'!G197,'qt calcs'!G197*1.609)</f>
        <v>0</v>
      </c>
      <c r="I160" s="239"/>
      <c r="J160" s="239" t="s">
        <v>774</v>
      </c>
      <c r="K160" s="239"/>
      <c r="M160" s="240"/>
    </row>
    <row r="161" spans="1:13" ht="13">
      <c r="A161" s="371"/>
      <c r="B161" s="369"/>
      <c r="C161" s="309"/>
      <c r="D161" s="370"/>
      <c r="E161" s="309"/>
      <c r="F161" s="310"/>
      <c r="G161" s="392">
        <f>IF(D161="km",'qt calcs'!H197,'qt calcs'!H197*1.609)</f>
        <v>0</v>
      </c>
      <c r="I161" s="239"/>
      <c r="J161" s="239" t="s">
        <v>10</v>
      </c>
      <c r="K161" s="239"/>
      <c r="M161" s="240"/>
    </row>
    <row r="162" spans="1:13" ht="13">
      <c r="A162" s="371"/>
      <c r="B162" s="369"/>
      <c r="C162" s="309"/>
      <c r="D162" s="370"/>
      <c r="E162" s="309"/>
      <c r="F162" s="310"/>
      <c r="G162" s="392">
        <f>IF(D162="km",'qt calcs'!I197,'qt calcs'!I197*1.609)</f>
        <v>0</v>
      </c>
      <c r="I162" s="239"/>
      <c r="J162" s="239" t="s">
        <v>775</v>
      </c>
      <c r="K162" s="239"/>
      <c r="M162" s="240"/>
    </row>
    <row r="163" spans="1:13" ht="13">
      <c r="A163" s="371"/>
      <c r="B163" s="369"/>
      <c r="C163" s="294"/>
      <c r="D163" s="372"/>
      <c r="E163" s="294"/>
      <c r="F163" s="296"/>
      <c r="G163" s="392">
        <f>IF(D163="km",'qt calcs'!J197,'qt calcs'!J197*1.609)</f>
        <v>0</v>
      </c>
      <c r="I163" s="239"/>
      <c r="J163" s="239"/>
      <c r="K163" s="239"/>
      <c r="M163" s="240"/>
    </row>
    <row r="164" spans="1:13" ht="13">
      <c r="A164" s="371"/>
      <c r="B164" s="369"/>
      <c r="C164" s="294"/>
      <c r="D164" s="372"/>
      <c r="E164" s="294"/>
      <c r="F164" s="296"/>
      <c r="G164" s="392">
        <f>IF(D164="km",'qt calcs'!K197,'qt calcs'!K197*1.609)</f>
        <v>0</v>
      </c>
      <c r="I164" s="239"/>
      <c r="J164" s="239"/>
      <c r="K164" s="239"/>
      <c r="M164" s="240"/>
    </row>
    <row r="165" spans="1:13" ht="13.5" thickBot="1">
      <c r="A165" s="373"/>
      <c r="B165" s="374"/>
      <c r="C165" s="294"/>
      <c r="D165" s="372"/>
      <c r="E165" s="294"/>
      <c r="F165" s="375"/>
      <c r="G165" s="393">
        <f>IF(D165="km",'qt calcs'!L197,'qt calcs'!L197*1.609)</f>
        <v>0</v>
      </c>
      <c r="I165" s="239"/>
      <c r="J165" s="239"/>
      <c r="K165" s="239"/>
      <c r="M165" s="240"/>
    </row>
    <row r="166" spans="1:13" ht="13.5" thickBot="1">
      <c r="A166" s="326"/>
      <c r="C166" s="327"/>
      <c r="D166" s="327"/>
      <c r="E166" s="327"/>
      <c r="F166" s="328" t="s">
        <v>31</v>
      </c>
      <c r="G166" s="394">
        <f>SUM(G156:G165)</f>
        <v>0</v>
      </c>
      <c r="I166" s="239"/>
      <c r="J166" s="239"/>
      <c r="K166" s="239"/>
      <c r="M166" s="240"/>
    </row>
    <row r="167" spans="1:13" ht="3.75" customHeight="1">
      <c r="G167" s="401"/>
      <c r="I167" s="239"/>
    </row>
    <row r="168" spans="1:13" ht="18">
      <c r="A168" s="376" t="s">
        <v>736</v>
      </c>
    </row>
    <row r="169" spans="1:13" ht="6" customHeight="1"/>
    <row r="170" spans="1:13" ht="15.5">
      <c r="A170" s="277" t="s">
        <v>188</v>
      </c>
      <c r="E170" s="377"/>
    </row>
    <row r="171" spans="1:13" ht="5.25" customHeight="1">
      <c r="E171" s="377"/>
    </row>
    <row r="172" spans="1:13" ht="14.25" customHeight="1">
      <c r="A172" s="278" t="s">
        <v>30</v>
      </c>
      <c r="B172" s="299" t="s">
        <v>776</v>
      </c>
      <c r="E172" s="377"/>
    </row>
    <row r="173" spans="1:13" ht="14.25" customHeight="1">
      <c r="A173" s="277" t="s">
        <v>235</v>
      </c>
      <c r="B173" s="402">
        <f>F88</f>
        <v>0</v>
      </c>
      <c r="E173" s="377"/>
    </row>
    <row r="174" spans="1:13" ht="14.25" customHeight="1">
      <c r="A174" s="277" t="s">
        <v>777</v>
      </c>
      <c r="B174" s="402">
        <f>F89</f>
        <v>0</v>
      </c>
      <c r="E174" s="377"/>
    </row>
    <row r="175" spans="1:13" ht="14.25" customHeight="1">
      <c r="A175" s="277" t="s">
        <v>778</v>
      </c>
      <c r="B175" s="402">
        <f>F90</f>
        <v>0</v>
      </c>
      <c r="E175" s="377"/>
    </row>
    <row r="176" spans="1:13" ht="14.25" customHeight="1">
      <c r="A176" s="277" t="s">
        <v>144</v>
      </c>
      <c r="B176" s="402">
        <f>F91</f>
        <v>0</v>
      </c>
      <c r="E176" s="377"/>
    </row>
    <row r="177" spans="1:5" ht="14.25" customHeight="1">
      <c r="A177" s="277"/>
      <c r="B177" s="403">
        <f>SUM(B173:B176)</f>
        <v>0</v>
      </c>
      <c r="C177" s="251" t="s">
        <v>754</v>
      </c>
      <c r="E177" s="377"/>
    </row>
    <row r="178" spans="1:5" ht="14.25" customHeight="1">
      <c r="A178" s="278" t="s">
        <v>374</v>
      </c>
      <c r="B178" s="402"/>
      <c r="E178" s="377"/>
    </row>
    <row r="179" spans="1:5" ht="14.25" customHeight="1">
      <c r="A179" s="277" t="s">
        <v>375</v>
      </c>
      <c r="B179" s="402">
        <f>F144</f>
        <v>0</v>
      </c>
      <c r="E179" s="377"/>
    </row>
    <row r="180" spans="1:5" ht="14.25" customHeight="1">
      <c r="A180" s="277" t="s">
        <v>777</v>
      </c>
      <c r="B180" s="402">
        <f>F145</f>
        <v>0</v>
      </c>
      <c r="E180" s="377"/>
    </row>
    <row r="181" spans="1:5" ht="14.25" customHeight="1">
      <c r="A181" s="277" t="s">
        <v>778</v>
      </c>
      <c r="B181" s="402">
        <f>F146</f>
        <v>0</v>
      </c>
      <c r="E181" s="377"/>
    </row>
    <row r="182" spans="1:5" ht="14.25" customHeight="1">
      <c r="A182" s="277" t="s">
        <v>144</v>
      </c>
      <c r="B182" s="402">
        <f>F147</f>
        <v>0</v>
      </c>
      <c r="E182" s="377"/>
    </row>
    <row r="183" spans="1:5" ht="14.25" customHeight="1">
      <c r="A183" s="277"/>
      <c r="B183" s="403">
        <f>SUM(B179:B182)</f>
        <v>0</v>
      </c>
      <c r="C183" s="251" t="s">
        <v>779</v>
      </c>
      <c r="E183" s="377"/>
    </row>
    <row r="184" spans="1:5" ht="14.25" customHeight="1">
      <c r="A184" s="278" t="s">
        <v>236</v>
      </c>
      <c r="B184" s="402"/>
      <c r="E184" s="377"/>
    </row>
    <row r="185" spans="1:5" ht="14.25" customHeight="1">
      <c r="A185" s="277" t="s">
        <v>381</v>
      </c>
      <c r="B185" s="403">
        <f>F37</f>
        <v>0</v>
      </c>
      <c r="C185" s="251" t="s">
        <v>379</v>
      </c>
      <c r="E185" s="377"/>
    </row>
    <row r="186" spans="1:5">
      <c r="A186" s="277" t="s">
        <v>380</v>
      </c>
      <c r="B186" s="404"/>
      <c r="E186" s="377"/>
    </row>
    <row r="187" spans="1:5">
      <c r="A187" s="277"/>
      <c r="B187" s="405"/>
      <c r="E187" s="377"/>
    </row>
    <row r="188" spans="1:5" ht="13">
      <c r="A188" s="278" t="s">
        <v>145</v>
      </c>
      <c r="B188" s="401"/>
      <c r="E188" s="377"/>
    </row>
    <row r="189" spans="1:5" ht="14.25" customHeight="1">
      <c r="A189" s="277" t="s">
        <v>145</v>
      </c>
      <c r="B189" s="403">
        <f>G166/1000</f>
        <v>0</v>
      </c>
      <c r="C189" s="251" t="s">
        <v>780</v>
      </c>
      <c r="D189" s="251"/>
      <c r="E189" s="377"/>
    </row>
    <row r="190" spans="1:5" ht="11.25" customHeight="1">
      <c r="B190" s="401"/>
      <c r="E190" s="377"/>
    </row>
    <row r="191" spans="1:5" ht="13">
      <c r="B191" s="406">
        <f>B189+B185+B183+B177</f>
        <v>0</v>
      </c>
      <c r="C191" s="251" t="s">
        <v>81</v>
      </c>
      <c r="E191" s="377"/>
    </row>
    <row r="192" spans="1:5">
      <c r="B192" s="379"/>
      <c r="E192" s="377"/>
    </row>
    <row r="193" spans="1:5" ht="13">
      <c r="A193" s="299"/>
      <c r="B193" s="380"/>
      <c r="E193" s="377"/>
    </row>
    <row r="194" spans="1:5" ht="14">
      <c r="A194" s="381"/>
      <c r="B194" s="378"/>
      <c r="E194" s="377"/>
    </row>
    <row r="195" spans="1:5">
      <c r="B195" s="379"/>
      <c r="E195" s="377"/>
    </row>
    <row r="196" spans="1:5">
      <c r="B196" s="379"/>
      <c r="E196" s="377"/>
    </row>
    <row r="197" spans="1:5">
      <c r="B197" s="379"/>
      <c r="E197" s="377"/>
    </row>
    <row r="198" spans="1:5" ht="13">
      <c r="A198" s="299"/>
      <c r="B198" s="380"/>
      <c r="E198" s="377"/>
    </row>
    <row r="199" spans="1:5" ht="14">
      <c r="A199" s="381"/>
    </row>
    <row r="200" spans="1:5">
      <c r="B200" s="379"/>
    </row>
    <row r="201" spans="1:5" ht="13">
      <c r="A201" s="299"/>
      <c r="B201" s="380"/>
    </row>
    <row r="202" spans="1:5" ht="14">
      <c r="A202" s="381"/>
    </row>
    <row r="203" spans="1:5">
      <c r="B203" s="379"/>
    </row>
    <row r="204" spans="1:5" ht="13">
      <c r="A204" s="377"/>
      <c r="B204" s="380"/>
    </row>
    <row r="207" spans="1:5" ht="13">
      <c r="A207" s="344"/>
      <c r="B207" s="380"/>
    </row>
  </sheetData>
  <sheetProtection password="F001" sheet="1" objects="1" scenarios="1" selectLockedCells="1"/>
  <mergeCells count="28">
    <mergeCell ref="A96:G96"/>
    <mergeCell ref="A152:F152"/>
    <mergeCell ref="A33:E33"/>
    <mergeCell ref="A127:F127"/>
    <mergeCell ref="A71:F71"/>
    <mergeCell ref="A101:G101"/>
    <mergeCell ref="A46:G46"/>
    <mergeCell ref="A102:H102"/>
    <mergeCell ref="A97:E97"/>
    <mergeCell ref="A125:F125"/>
    <mergeCell ref="A23:E23"/>
    <mergeCell ref="A25:E25"/>
    <mergeCell ref="A47:H47"/>
    <mergeCell ref="A36:E36"/>
    <mergeCell ref="A44:G44"/>
    <mergeCell ref="A31:E31"/>
    <mergeCell ref="A28:E28"/>
    <mergeCell ref="A42:H42"/>
    <mergeCell ref="A111:F111"/>
    <mergeCell ref="A1:F1"/>
    <mergeCell ref="A3:F3"/>
    <mergeCell ref="A6:F6"/>
    <mergeCell ref="A35:B35"/>
    <mergeCell ref="A12:E12"/>
    <mergeCell ref="A15:E15"/>
    <mergeCell ref="A17:E17"/>
    <mergeCell ref="A20:E20"/>
    <mergeCell ref="A48:G48"/>
  </mergeCells>
  <phoneticPr fontId="2" type="noConversion"/>
  <dataValidations count="10">
    <dataValidation type="list" allowBlank="1" showInputMessage="1" showErrorMessage="1" sqref="B156:B165">
      <formula1>$J$156:$J$162</formula1>
    </dataValidation>
    <dataValidation type="list" allowBlank="1" showInputMessage="1" showErrorMessage="1" sqref="B118:B122">
      <formula1>$I$63:$I$71</formula1>
    </dataValidation>
    <dataValidation type="list" allowBlank="1" showInputMessage="1" showErrorMessage="1" sqref="B117 B63:B68">
      <formula1>$I$63:$I$72</formula1>
    </dataValidation>
    <dataValidation type="list" allowBlank="1" showInputMessage="1" showErrorMessage="1" sqref="B104:B109 B50:B55">
      <formula1>"vehicle 1, vehicle 2, vehicle 3"</formula1>
    </dataValidation>
    <dataValidation type="list" allowBlank="1" showInputMessage="1" showErrorMessage="1" sqref="F7">
      <formula1>"None,1,2,3"</formula1>
    </dataValidation>
    <dataValidation type="list" allowBlank="1" showInputMessage="1" showErrorMessage="1" sqref="B41 B43">
      <formula1>$G$76:$G$86</formula1>
    </dataValidation>
    <dataValidation type="list" allowBlank="1" showInputMessage="1" showErrorMessage="1" sqref="F14 F22 F30">
      <formula1>"0,1,2,3,4,5,6,7,8,9,10,11,12"</formula1>
    </dataValidation>
    <dataValidation type="list" allowBlank="1" showInputMessage="1" showErrorMessage="1" sqref="D156:D165">
      <formula1>"miles, km"</formula1>
    </dataValidation>
    <dataValidation type="list" allowBlank="1" showInputMessage="1" showErrorMessage="1" sqref="B76:B85 B132:B140">
      <formula1>I$76:I$86</formula1>
    </dataValidation>
    <dataValidation type="list" allowBlank="1" showInputMessage="1" showErrorMessage="1" sqref="F13 F21 F29">
      <formula1>"None ,Motorbike, Small car, Medium car, MPV/estate, 4X4, van"</formula1>
    </dataValidation>
  </dataValidations>
  <hyperlinks>
    <hyperlink ref="B16" r:id="rId1"/>
    <hyperlink ref="B24" r:id="rId2"/>
    <hyperlink ref="B32" r:id="rId3"/>
    <hyperlink ref="D153" r:id="rId4"/>
  </hyperlinks>
  <pageMargins left="0.6692913385826772" right="0.11811023622047245" top="0.39370078740157483" bottom="0.19685039370078741" header="0.59055118110236227" footer="0.19685039370078741"/>
  <pageSetup paperSize="9" scale="73" fitToHeight="3" orientation="portrait" blackAndWhite="1" draft="1" horizontalDpi="4294967294" verticalDpi="300"/>
  <headerFooter alignWithMargins="0"/>
  <rowBreaks count="3" manualBreakCount="3">
    <brk id="40" max="7" man="1"/>
    <brk id="92" max="7" man="1"/>
    <brk id="149" max="7" man="1"/>
  </row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284"/>
  <sheetViews>
    <sheetView showGridLines="0" topLeftCell="A28" zoomScale="120" zoomScaleNormal="100" zoomScaleSheetLayoutView="100" workbookViewId="0">
      <selection activeCell="M45" sqref="M45"/>
    </sheetView>
  </sheetViews>
  <sheetFormatPr defaultColWidth="9.1796875" defaultRowHeight="12.5"/>
  <cols>
    <col min="1" max="1" width="18.453125" style="239" customWidth="1"/>
    <col min="2" max="2" width="21.6328125" style="239" customWidth="1"/>
    <col min="3" max="3" width="22.36328125" style="239" customWidth="1"/>
    <col min="4" max="4" width="3.1796875" style="239" customWidth="1"/>
    <col min="5" max="5" width="10.36328125" style="408" customWidth="1"/>
    <col min="6" max="6" width="12.6328125" style="239" customWidth="1"/>
    <col min="7" max="7" width="10.453125" style="240" customWidth="1"/>
    <col min="8" max="8" width="16.453125" style="240" hidden="1" customWidth="1"/>
    <col min="9" max="9" width="9.1796875" style="240"/>
    <col min="10" max="16384" width="9.1796875" style="239"/>
  </cols>
  <sheetData>
    <row r="1" spans="1:9" ht="16.5">
      <c r="A1" s="630" t="s">
        <v>793</v>
      </c>
      <c r="B1" s="631"/>
      <c r="C1" s="631"/>
      <c r="D1" s="631"/>
      <c r="E1" s="631"/>
      <c r="F1" s="631"/>
    </row>
    <row r="2" spans="1:9" ht="3" customHeight="1">
      <c r="A2" s="242"/>
      <c r="B2" s="243"/>
      <c r="C2" s="243"/>
      <c r="D2" s="243"/>
      <c r="E2" s="407"/>
      <c r="F2" s="243"/>
    </row>
    <row r="3" spans="1:9" s="246" customFormat="1" ht="57" customHeight="1">
      <c r="A3" s="650" t="s">
        <v>189</v>
      </c>
      <c r="B3" s="704"/>
      <c r="C3" s="704"/>
      <c r="D3" s="704"/>
      <c r="E3" s="704"/>
      <c r="F3" s="704"/>
      <c r="G3" s="704"/>
      <c r="H3" s="247"/>
      <c r="I3" s="247"/>
    </row>
    <row r="4" spans="1:9" ht="6.75" customHeight="1"/>
    <row r="5" spans="1:9" ht="16.5">
      <c r="A5" s="249" t="s">
        <v>584</v>
      </c>
    </row>
    <row r="6" spans="1:9" ht="2.25" customHeight="1"/>
    <row r="7" spans="1:9" ht="13">
      <c r="A7" s="251" t="s">
        <v>794</v>
      </c>
      <c r="B7" s="251"/>
    </row>
    <row r="8" spans="1:9" ht="42.75" customHeight="1">
      <c r="A8" s="697" t="s">
        <v>795</v>
      </c>
      <c r="B8" s="697"/>
      <c r="C8" s="697"/>
      <c r="D8" s="697"/>
      <c r="E8" s="697"/>
      <c r="F8" s="697"/>
      <c r="G8" s="651"/>
    </row>
    <row r="9" spans="1:9" ht="2.25" customHeight="1">
      <c r="A9" s="409"/>
      <c r="B9" s="409"/>
      <c r="C9" s="409"/>
      <c r="D9" s="409"/>
      <c r="E9" s="409"/>
      <c r="F9" s="409"/>
    </row>
    <row r="10" spans="1:9" ht="13.5" customHeight="1">
      <c r="A10" s="737" t="s">
        <v>614</v>
      </c>
      <c r="B10" s="737"/>
      <c r="C10" s="410" t="s">
        <v>618</v>
      </c>
      <c r="D10" s="720" t="s">
        <v>796</v>
      </c>
      <c r="E10" s="720"/>
      <c r="F10" s="720"/>
    </row>
    <row r="11" spans="1:9" ht="13.5" customHeight="1">
      <c r="A11" s="719" t="s">
        <v>615</v>
      </c>
      <c r="B11" s="719"/>
      <c r="C11" s="411">
        <v>2250</v>
      </c>
      <c r="D11" s="720"/>
      <c r="E11" s="720"/>
      <c r="F11" s="720"/>
    </row>
    <row r="12" spans="1:9" ht="13.5" customHeight="1">
      <c r="A12" s="719" t="s">
        <v>617</v>
      </c>
      <c r="B12" s="719"/>
      <c r="C12" s="411">
        <v>2000</v>
      </c>
      <c r="D12" s="720"/>
      <c r="E12" s="720"/>
      <c r="F12" s="720"/>
    </row>
    <row r="13" spans="1:9" ht="13.5" customHeight="1">
      <c r="A13" s="719" t="s">
        <v>616</v>
      </c>
      <c r="B13" s="719"/>
      <c r="C13" s="411">
        <v>1750</v>
      </c>
      <c r="D13" s="720"/>
      <c r="E13" s="720"/>
      <c r="F13" s="720"/>
    </row>
    <row r="14" spans="1:9" ht="13.5" customHeight="1">
      <c r="A14" s="719" t="s">
        <v>797</v>
      </c>
      <c r="B14" s="719"/>
      <c r="C14" s="411">
        <v>1500</v>
      </c>
      <c r="D14" s="720"/>
      <c r="E14" s="720"/>
      <c r="F14" s="720"/>
    </row>
    <row r="15" spans="1:9" ht="3" customHeight="1">
      <c r="F15" s="412"/>
      <c r="G15" s="306"/>
      <c r="H15" s="306"/>
      <c r="I15" s="306"/>
    </row>
    <row r="16" spans="1:9" ht="2.25" customHeight="1" thickBot="1">
      <c r="F16" s="412"/>
      <c r="G16" s="306"/>
      <c r="H16" s="306"/>
      <c r="I16" s="306"/>
    </row>
    <row r="17" spans="1:9">
      <c r="A17" s="740" t="s">
        <v>798</v>
      </c>
      <c r="B17" s="741"/>
      <c r="C17" s="713" t="s">
        <v>190</v>
      </c>
      <c r="D17" s="713" t="s">
        <v>613</v>
      </c>
      <c r="E17" s="717"/>
      <c r="F17" s="715" t="s">
        <v>799</v>
      </c>
      <c r="G17" s="306"/>
      <c r="H17" s="306"/>
      <c r="I17" s="306"/>
    </row>
    <row r="18" spans="1:9" ht="12" customHeight="1" thickBot="1">
      <c r="A18" s="742"/>
      <c r="B18" s="743"/>
      <c r="C18" s="714"/>
      <c r="D18" s="714"/>
      <c r="E18" s="718"/>
      <c r="F18" s="716"/>
      <c r="G18" s="306"/>
      <c r="H18" s="306"/>
      <c r="I18" s="306"/>
    </row>
    <row r="19" spans="1:9">
      <c r="A19" s="738"/>
      <c r="B19" s="739"/>
      <c r="C19" s="413"/>
      <c r="D19" s="745"/>
      <c r="E19" s="746"/>
      <c r="F19" s="414"/>
      <c r="G19" s="415"/>
      <c r="H19" s="306"/>
      <c r="I19" s="306"/>
    </row>
    <row r="20" spans="1:9">
      <c r="A20" s="744"/>
      <c r="B20" s="669"/>
      <c r="C20" s="416"/>
      <c r="D20" s="735"/>
      <c r="E20" s="736"/>
      <c r="F20" s="417"/>
      <c r="G20" s="415"/>
      <c r="H20" s="306"/>
      <c r="I20" s="306"/>
    </row>
    <row r="21" spans="1:9">
      <c r="A21" s="744"/>
      <c r="B21" s="669"/>
      <c r="C21" s="416"/>
      <c r="D21" s="735"/>
      <c r="E21" s="736"/>
      <c r="F21" s="417"/>
      <c r="G21" s="415"/>
      <c r="H21" s="306"/>
      <c r="I21" s="306"/>
    </row>
    <row r="22" spans="1:9">
      <c r="A22" s="744"/>
      <c r="B22" s="669"/>
      <c r="C22" s="416"/>
      <c r="D22" s="735"/>
      <c r="E22" s="736"/>
      <c r="F22" s="417"/>
      <c r="G22" s="415"/>
      <c r="H22" s="306"/>
      <c r="I22" s="306"/>
    </row>
    <row r="23" spans="1:9">
      <c r="A23" s="744"/>
      <c r="B23" s="669"/>
      <c r="C23" s="416"/>
      <c r="D23" s="735"/>
      <c r="E23" s="736"/>
      <c r="F23" s="417"/>
      <c r="G23" s="415"/>
      <c r="H23" s="306"/>
      <c r="I23" s="306"/>
    </row>
    <row r="24" spans="1:9">
      <c r="A24" s="744"/>
      <c r="B24" s="669"/>
      <c r="C24" s="416"/>
      <c r="D24" s="735"/>
      <c r="E24" s="736"/>
      <c r="F24" s="417"/>
      <c r="G24" s="306"/>
      <c r="H24" s="306"/>
      <c r="I24" s="306"/>
    </row>
    <row r="25" spans="1:9">
      <c r="A25" s="744"/>
      <c r="B25" s="669"/>
      <c r="C25" s="416"/>
      <c r="D25" s="735"/>
      <c r="E25" s="736"/>
      <c r="F25" s="417"/>
    </row>
    <row r="26" spans="1:9" ht="13" thickBot="1">
      <c r="A26" s="747"/>
      <c r="B26" s="663"/>
      <c r="C26" s="418"/>
      <c r="D26" s="748"/>
      <c r="E26" s="749"/>
      <c r="F26" s="419"/>
    </row>
    <row r="27" spans="1:9" ht="13.5" thickBot="1">
      <c r="B27" s="420" t="s">
        <v>266</v>
      </c>
      <c r="C27" s="470">
        <f>SUM(C19:C26)-'ql calcs'!D17</f>
        <v>0</v>
      </c>
      <c r="D27" s="751">
        <f>'ql calcs'!E17</f>
        <v>0</v>
      </c>
      <c r="E27" s="752"/>
      <c r="F27" s="471">
        <f>'ql calcs'!E31</f>
        <v>0</v>
      </c>
      <c r="G27" s="421"/>
    </row>
    <row r="28" spans="1:9" ht="18" customHeight="1">
      <c r="A28" s="251" t="s">
        <v>801</v>
      </c>
      <c r="F28" s="422" t="s">
        <v>800</v>
      </c>
      <c r="G28" s="306"/>
    </row>
    <row r="29" spans="1:9" ht="40.5" customHeight="1">
      <c r="A29" s="693" t="s">
        <v>802</v>
      </c>
      <c r="B29" s="693"/>
      <c r="C29" s="693"/>
      <c r="D29" s="693"/>
      <c r="E29" s="693"/>
      <c r="F29" s="693"/>
      <c r="G29" s="651"/>
    </row>
    <row r="30" spans="1:9" ht="9.75" customHeight="1" thickBot="1">
      <c r="D30" s="753" t="s">
        <v>624</v>
      </c>
      <c r="E30" s="753"/>
    </row>
    <row r="31" spans="1:9" s="424" customFormat="1" ht="33.75" customHeight="1" thickBot="1">
      <c r="A31" s="423" t="s">
        <v>191</v>
      </c>
      <c r="B31" s="705" t="s">
        <v>519</v>
      </c>
      <c r="C31" s="706"/>
      <c r="D31" s="709">
        <f>'ql calcs'!B46</f>
        <v>0</v>
      </c>
      <c r="E31" s="710"/>
      <c r="G31" s="425"/>
      <c r="H31" s="425"/>
      <c r="I31" s="425"/>
    </row>
    <row r="32" spans="1:9" s="424" customFormat="1" ht="30.75" customHeight="1" thickBot="1">
      <c r="A32" s="423" t="s">
        <v>192</v>
      </c>
      <c r="B32" s="705" t="s">
        <v>519</v>
      </c>
      <c r="C32" s="706"/>
      <c r="D32" s="709">
        <f>'ql calcs'!B50</f>
        <v>0</v>
      </c>
      <c r="E32" s="710"/>
      <c r="G32" s="425"/>
      <c r="H32" s="425"/>
      <c r="I32" s="425"/>
    </row>
    <row r="33" spans="1:9" s="424" customFormat="1" ht="30.75" customHeight="1" thickBot="1">
      <c r="A33" s="426" t="s">
        <v>119</v>
      </c>
      <c r="B33" s="705" t="s">
        <v>519</v>
      </c>
      <c r="C33" s="706"/>
      <c r="D33" s="709">
        <f>'ql calcs'!B54</f>
        <v>0</v>
      </c>
      <c r="E33" s="710"/>
      <c r="G33" s="425"/>
      <c r="H33" s="425"/>
      <c r="I33" s="425"/>
    </row>
    <row r="34" spans="1:9" s="424" customFormat="1" ht="30.75" customHeight="1" thickBot="1">
      <c r="A34" s="426" t="s">
        <v>120</v>
      </c>
      <c r="B34" s="705" t="s">
        <v>440</v>
      </c>
      <c r="C34" s="653"/>
      <c r="D34" s="707">
        <f>'ql calcs'!B59</f>
        <v>0</v>
      </c>
      <c r="E34" s="750"/>
      <c r="G34" s="425"/>
      <c r="H34" s="425"/>
      <c r="I34" s="425"/>
    </row>
    <row r="35" spans="1:9" s="424" customFormat="1" ht="30.75" customHeight="1" thickBot="1">
      <c r="A35" s="426" t="s">
        <v>585</v>
      </c>
      <c r="B35" s="705" t="s">
        <v>519</v>
      </c>
      <c r="C35" s="706"/>
      <c r="D35" s="709">
        <f>'ql calcs'!B64</f>
        <v>0</v>
      </c>
      <c r="E35" s="710"/>
      <c r="G35" s="425"/>
      <c r="H35" s="425"/>
      <c r="I35" s="425"/>
    </row>
    <row r="36" spans="1:9" s="424" customFormat="1" ht="33.75" customHeight="1" thickBot="1">
      <c r="A36" s="423" t="s">
        <v>193</v>
      </c>
      <c r="B36" s="705" t="s">
        <v>519</v>
      </c>
      <c r="C36" s="706"/>
      <c r="D36" s="707">
        <f>'ql calcs'!B68</f>
        <v>0</v>
      </c>
      <c r="E36" s="708"/>
      <c r="G36" s="425"/>
      <c r="H36" s="425"/>
      <c r="I36" s="240"/>
    </row>
    <row r="37" spans="1:9" ht="18.75" customHeight="1" thickBot="1">
      <c r="A37" s="412"/>
      <c r="B37" s="412"/>
      <c r="C37" s="427" t="s">
        <v>369</v>
      </c>
      <c r="D37" s="711">
        <f>'ql calcs'!B68</f>
        <v>0</v>
      </c>
      <c r="E37" s="712"/>
      <c r="F37" s="428"/>
      <c r="H37" s="425"/>
    </row>
    <row r="38" spans="1:9" ht="4.5" customHeight="1">
      <c r="A38" s="412"/>
      <c r="B38" s="412"/>
      <c r="C38" s="412"/>
      <c r="E38" s="240"/>
      <c r="F38" s="240"/>
      <c r="H38" s="425"/>
    </row>
    <row r="39" spans="1:9" ht="16.5">
      <c r="A39" s="249" t="s">
        <v>536</v>
      </c>
      <c r="E39" s="240"/>
      <c r="F39" s="240"/>
      <c r="H39" s="425"/>
    </row>
    <row r="40" spans="1:9" ht="30.75" customHeight="1">
      <c r="A40" s="650" t="s">
        <v>194</v>
      </c>
      <c r="B40" s="650"/>
      <c r="C40" s="650"/>
      <c r="D40" s="697"/>
      <c r="E40" s="697"/>
      <c r="F40" s="697"/>
      <c r="G40" s="651"/>
      <c r="H40" s="425"/>
    </row>
    <row r="41" spans="1:9" ht="2.25" customHeight="1">
      <c r="A41" s="250"/>
      <c r="B41" s="250"/>
      <c r="C41" s="250"/>
      <c r="D41" s="429"/>
      <c r="E41" s="429"/>
      <c r="F41" s="429"/>
      <c r="H41" s="425"/>
    </row>
    <row r="42" spans="1:9" ht="2.25" customHeight="1" thickBot="1">
      <c r="A42" s="250"/>
      <c r="B42" s="250"/>
      <c r="C42" s="250"/>
      <c r="E42" s="241" t="str">
        <f>'ql calcs'!C49</f>
        <v>We never eat ready meals</v>
      </c>
      <c r="H42" s="425"/>
    </row>
    <row r="43" spans="1:9" ht="13.5" thickBot="1">
      <c r="A43" s="430" t="s">
        <v>632</v>
      </c>
      <c r="B43" s="431" t="s">
        <v>633</v>
      </c>
      <c r="C43" s="250"/>
      <c r="D43" s="241"/>
      <c r="E43" s="241"/>
      <c r="F43" s="241"/>
      <c r="G43" s="241"/>
      <c r="H43" s="432"/>
    </row>
    <row r="44" spans="1:9" ht="13" thickBot="1">
      <c r="A44" s="433">
        <v>0</v>
      </c>
      <c r="B44" s="434" t="str">
        <f>'ql calcs'!A72</f>
        <v>Cat</v>
      </c>
      <c r="D44" s="241"/>
      <c r="E44" s="241"/>
      <c r="F44" s="241"/>
      <c r="G44" s="241"/>
      <c r="H44" s="432"/>
    </row>
    <row r="45" spans="1:9">
      <c r="A45" s="435">
        <v>0</v>
      </c>
      <c r="B45" s="436" t="str">
        <f>'ql calcs'!A73</f>
        <v>Dog – 10 lb (4.5kg)</v>
      </c>
      <c r="D45" s="241"/>
      <c r="E45" s="241"/>
      <c r="F45" s="241"/>
      <c r="G45" s="241"/>
      <c r="H45" s="432"/>
    </row>
    <row r="46" spans="1:9">
      <c r="A46" s="437">
        <v>0</v>
      </c>
      <c r="B46" s="438" t="str">
        <f>'ql calcs'!A74</f>
        <v>Dog – 30 lb (13.5kg)</v>
      </c>
      <c r="D46" s="241"/>
      <c r="E46" s="241"/>
      <c r="F46" s="241"/>
      <c r="G46" s="241"/>
      <c r="H46" s="432"/>
    </row>
    <row r="47" spans="1:9">
      <c r="A47" s="437">
        <v>0</v>
      </c>
      <c r="B47" s="438" t="str">
        <f>'ql calcs'!A75</f>
        <v>Dog – 50 lb (23kg)</v>
      </c>
      <c r="D47" s="241"/>
      <c r="E47" s="241"/>
      <c r="F47" s="241"/>
      <c r="G47" s="241"/>
      <c r="H47" s="432"/>
    </row>
    <row r="48" spans="1:9">
      <c r="A48" s="437">
        <v>0</v>
      </c>
      <c r="B48" s="438" t="str">
        <f>'ql calcs'!A76</f>
        <v>Dog – 70 lb (32kg)</v>
      </c>
      <c r="E48" s="241"/>
      <c r="H48" s="425"/>
    </row>
    <row r="49" spans="1:8" ht="13" thickBot="1">
      <c r="A49" s="439">
        <v>0</v>
      </c>
      <c r="B49" s="440" t="str">
        <f>'ql calcs'!A77</f>
        <v>Dog – 90 lb (41kg)</v>
      </c>
      <c r="E49" s="241"/>
      <c r="H49" s="425"/>
    </row>
    <row r="50" spans="1:8" ht="16.5" customHeight="1" thickBot="1">
      <c r="A50" s="472">
        <f>E106*1000</f>
        <v>0</v>
      </c>
      <c r="B50" s="278" t="s">
        <v>195</v>
      </c>
      <c r="E50" s="241"/>
      <c r="H50" s="425"/>
    </row>
    <row r="51" spans="1:8" ht="16.5" customHeight="1">
      <c r="A51" s="359"/>
      <c r="B51" s="278"/>
      <c r="E51" s="241"/>
      <c r="H51" s="425"/>
    </row>
    <row r="52" spans="1:8" ht="16.5">
      <c r="A52" s="249" t="s">
        <v>806</v>
      </c>
      <c r="E52" s="241"/>
      <c r="H52" s="425"/>
    </row>
    <row r="53" spans="1:8" ht="8.25" customHeight="1">
      <c r="A53" s="697" t="s">
        <v>196</v>
      </c>
      <c r="B53" s="697"/>
      <c r="C53" s="697"/>
      <c r="D53" s="697"/>
      <c r="E53" s="697"/>
      <c r="F53" s="697"/>
      <c r="G53" s="651"/>
      <c r="H53" s="425"/>
    </row>
    <row r="54" spans="1:8" ht="10.5" customHeight="1">
      <c r="A54" s="697"/>
      <c r="B54" s="697"/>
      <c r="C54" s="697"/>
      <c r="D54" s="697"/>
      <c r="E54" s="697"/>
      <c r="F54" s="697"/>
      <c r="G54" s="651"/>
    </row>
    <row r="55" spans="1:8">
      <c r="A55" s="697"/>
      <c r="B55" s="697"/>
      <c r="C55" s="697"/>
      <c r="D55" s="697"/>
      <c r="E55" s="697"/>
      <c r="F55" s="697"/>
      <c r="G55" s="651"/>
    </row>
    <row r="56" spans="1:8" ht="6" customHeight="1">
      <c r="A56" s="277"/>
      <c r="B56" s="277"/>
      <c r="C56" s="277"/>
      <c r="D56" s="277"/>
      <c r="E56" s="441"/>
      <c r="F56" s="277"/>
      <c r="G56" s="442"/>
    </row>
    <row r="57" spans="1:8" ht="71.25" customHeight="1">
      <c r="A57" s="650" t="s">
        <v>807</v>
      </c>
      <c r="B57" s="650"/>
      <c r="C57" s="650"/>
      <c r="D57" s="650"/>
      <c r="E57" s="650"/>
      <c r="F57" s="650"/>
      <c r="G57" s="651"/>
    </row>
    <row r="58" spans="1:8" ht="16.5" customHeight="1">
      <c r="A58" s="250"/>
      <c r="B58" s="250"/>
      <c r="C58" s="443" t="s">
        <v>808</v>
      </c>
      <c r="D58" s="250"/>
      <c r="E58" s="250"/>
      <c r="F58" s="250"/>
      <c r="H58" s="306"/>
    </row>
    <row r="59" spans="1:8" ht="4.5" customHeight="1" thickBot="1">
      <c r="A59" s="250"/>
      <c r="B59" s="250"/>
      <c r="C59" s="250"/>
      <c r="D59" s="250"/>
      <c r="E59" s="250"/>
      <c r="F59" s="250"/>
      <c r="H59" s="444"/>
    </row>
    <row r="60" spans="1:8" ht="14.25" customHeight="1" thickBot="1">
      <c r="A60" s="733" t="s">
        <v>512</v>
      </c>
      <c r="B60" s="733"/>
      <c r="C60" s="445" t="s">
        <v>809</v>
      </c>
      <c r="D60" s="688"/>
      <c r="E60" s="688"/>
      <c r="F60" s="632"/>
      <c r="H60" s="444"/>
    </row>
    <row r="61" spans="1:8" ht="13.5" customHeight="1">
      <c r="A61" s="733" t="s">
        <v>810</v>
      </c>
      <c r="B61" s="733"/>
      <c r="C61" s="446"/>
      <c r="D61" s="734"/>
      <c r="E61" s="688"/>
      <c r="F61" s="632"/>
      <c r="H61" s="444"/>
    </row>
    <row r="62" spans="1:8" ht="13.5" customHeight="1" thickBot="1">
      <c r="A62" s="733" t="s">
        <v>811</v>
      </c>
      <c r="B62" s="733"/>
      <c r="C62" s="447"/>
      <c r="D62" s="688"/>
      <c r="E62" s="688"/>
      <c r="F62" s="632"/>
      <c r="H62" s="444"/>
    </row>
    <row r="63" spans="1:8" ht="15.75" customHeight="1" thickBot="1">
      <c r="A63" s="448"/>
      <c r="B63" s="449" t="s">
        <v>812</v>
      </c>
      <c r="C63" s="473">
        <f>'ql calcs'!B87</f>
        <v>0</v>
      </c>
      <c r="D63" s="250"/>
      <c r="E63" s="250"/>
      <c r="F63" s="632"/>
      <c r="H63" s="444"/>
    </row>
    <row r="64" spans="1:8" ht="13.5" customHeight="1">
      <c r="A64" s="250"/>
      <c r="B64" s="250"/>
      <c r="C64" s="250"/>
      <c r="D64" s="250"/>
      <c r="E64" s="250"/>
      <c r="F64" s="250"/>
      <c r="H64" s="444"/>
    </row>
    <row r="65" spans="1:8" ht="18" customHeight="1" thickBot="1">
      <c r="A65" s="650" t="s">
        <v>813</v>
      </c>
      <c r="B65" s="650"/>
      <c r="C65" s="650"/>
      <c r="D65" s="650"/>
      <c r="E65" s="650"/>
      <c r="F65" s="650"/>
      <c r="G65" s="651"/>
      <c r="H65" s="444"/>
    </row>
    <row r="66" spans="1:8" ht="13.5" customHeight="1">
      <c r="A66" s="731" t="s">
        <v>516</v>
      </c>
      <c r="B66" s="731"/>
      <c r="C66" s="450"/>
      <c r="D66" s="250"/>
      <c r="E66" s="250"/>
      <c r="F66" s="250"/>
      <c r="H66" s="444"/>
    </row>
    <row r="67" spans="1:8" ht="16.5" customHeight="1" thickBot="1">
      <c r="A67" s="733" t="s">
        <v>814</v>
      </c>
      <c r="B67" s="733"/>
      <c r="C67" s="451"/>
      <c r="D67" s="250"/>
      <c r="E67" s="250"/>
      <c r="F67" s="250"/>
      <c r="H67" s="306"/>
    </row>
    <row r="68" spans="1:8" ht="13.5" thickBot="1">
      <c r="A68" s="703" t="s">
        <v>815</v>
      </c>
      <c r="B68" s="703"/>
      <c r="C68" s="474">
        <f>C63-C66+C67</f>
        <v>0</v>
      </c>
      <c r="D68" s="250"/>
      <c r="E68" s="688"/>
      <c r="F68" s="688"/>
      <c r="H68" s="452" t="s">
        <v>519</v>
      </c>
    </row>
    <row r="69" spans="1:8">
      <c r="A69" s="632"/>
      <c r="B69" s="688"/>
      <c r="C69" s="688"/>
      <c r="D69" s="688"/>
      <c r="E69" s="688"/>
      <c r="F69" s="688"/>
      <c r="H69" s="453" t="s">
        <v>506</v>
      </c>
    </row>
    <row r="70" spans="1:8" ht="17.25" customHeight="1" thickBot="1">
      <c r="A70" s="632" t="s">
        <v>819</v>
      </c>
      <c r="B70" s="688"/>
      <c r="C70" s="688"/>
      <c r="D70" s="688"/>
      <c r="E70" s="688"/>
      <c r="F70" s="688"/>
      <c r="G70" s="726"/>
      <c r="H70" s="453" t="s">
        <v>505</v>
      </c>
    </row>
    <row r="71" spans="1:8" ht="14.25" customHeight="1" thickBot="1">
      <c r="A71" s="731" t="s">
        <v>816</v>
      </c>
      <c r="B71" s="731"/>
      <c r="C71" s="450"/>
      <c r="D71" s="250"/>
      <c r="E71" s="732" t="s">
        <v>818</v>
      </c>
      <c r="F71" s="732"/>
      <c r="H71" s="453" t="s">
        <v>507</v>
      </c>
    </row>
    <row r="72" spans="1:8" ht="15" customHeight="1" thickBot="1">
      <c r="A72" s="703" t="s">
        <v>817</v>
      </c>
      <c r="B72" s="703"/>
      <c r="C72" s="474">
        <f>C68-C71</f>
        <v>0</v>
      </c>
      <c r="D72" s="455" t="s">
        <v>517</v>
      </c>
      <c r="E72" s="732"/>
      <c r="F72" s="732"/>
      <c r="H72" s="453" t="s">
        <v>518</v>
      </c>
    </row>
    <row r="73" spans="1:8" ht="31.5" customHeight="1" thickBot="1">
      <c r="A73" s="251" t="s">
        <v>520</v>
      </c>
      <c r="F73" s="408"/>
      <c r="H73" s="453" t="s">
        <v>283</v>
      </c>
    </row>
    <row r="74" spans="1:8" ht="18.75" customHeight="1" thickBot="1">
      <c r="A74" s="727" t="s">
        <v>519</v>
      </c>
      <c r="B74" s="728"/>
      <c r="C74" s="728"/>
      <c r="D74" s="729"/>
      <c r="E74" s="730"/>
      <c r="F74" s="408"/>
      <c r="H74" s="453" t="s">
        <v>286</v>
      </c>
    </row>
    <row r="75" spans="1:8">
      <c r="F75" s="408"/>
      <c r="H75" s="453" t="s">
        <v>287</v>
      </c>
    </row>
    <row r="76" spans="1:8" ht="17.25" customHeight="1">
      <c r="A76" s="377" t="s">
        <v>523</v>
      </c>
      <c r="B76" s="475">
        <f ca="1">'ql calcs'!B108</f>
        <v>0</v>
      </c>
      <c r="C76" s="239" t="s">
        <v>197</v>
      </c>
      <c r="F76" s="408"/>
      <c r="H76" s="453" t="s">
        <v>288</v>
      </c>
    </row>
    <row r="77" spans="1:8" ht="4.5" customHeight="1">
      <c r="A77" s="381"/>
      <c r="F77" s="408"/>
      <c r="H77" s="453" t="s">
        <v>289</v>
      </c>
    </row>
    <row r="78" spans="1:8">
      <c r="A78" s="650" t="s">
        <v>161</v>
      </c>
      <c r="B78" s="650"/>
      <c r="C78" s="650"/>
      <c r="D78" s="650"/>
      <c r="E78" s="650"/>
      <c r="F78" s="650"/>
      <c r="H78" s="453" t="s">
        <v>290</v>
      </c>
    </row>
    <row r="79" spans="1:8" ht="15.75" customHeight="1">
      <c r="F79" s="408"/>
      <c r="H79" s="453" t="s">
        <v>291</v>
      </c>
    </row>
    <row r="80" spans="1:8" ht="15.75" customHeight="1">
      <c r="A80" s="277" t="s">
        <v>820</v>
      </c>
      <c r="F80" s="408"/>
      <c r="H80" s="453"/>
    </row>
    <row r="81" spans="1:8" ht="6" customHeight="1">
      <c r="F81" s="408"/>
      <c r="H81" s="444"/>
    </row>
    <row r="82" spans="1:8" ht="15" customHeight="1" thickBot="1">
      <c r="F82" s="457" t="s">
        <v>822</v>
      </c>
      <c r="H82" s="444"/>
    </row>
    <row r="83" spans="1:8" ht="15.75" customHeight="1" thickBot="1">
      <c r="A83" s="458" t="s">
        <v>821</v>
      </c>
      <c r="B83" s="721" t="s">
        <v>519</v>
      </c>
      <c r="C83" s="722"/>
      <c r="D83" s="722"/>
      <c r="E83" s="723"/>
      <c r="F83" s="476">
        <f ca="1">'ql calcs'!B122</f>
        <v>0</v>
      </c>
    </row>
    <row r="84" spans="1:8" ht="3.75" customHeight="1" thickBot="1">
      <c r="A84" s="458"/>
      <c r="B84" s="457"/>
      <c r="C84" s="457"/>
      <c r="D84" s="457"/>
      <c r="E84" s="459"/>
      <c r="F84" s="477"/>
    </row>
    <row r="85" spans="1:8" ht="15.75" customHeight="1" thickBot="1">
      <c r="A85" s="458" t="s">
        <v>643</v>
      </c>
      <c r="B85" s="722" t="s">
        <v>519</v>
      </c>
      <c r="C85" s="724"/>
      <c r="D85" s="724"/>
      <c r="E85" s="725"/>
      <c r="F85" s="476">
        <f ca="1">'ql calcs'!B126</f>
        <v>0</v>
      </c>
    </row>
    <row r="86" spans="1:8" ht="6" customHeight="1" thickBot="1">
      <c r="F86" s="478"/>
    </row>
    <row r="87" spans="1:8" ht="15.75" customHeight="1" thickBot="1">
      <c r="A87" s="458" t="s">
        <v>77</v>
      </c>
      <c r="B87" s="721" t="s">
        <v>519</v>
      </c>
      <c r="C87" s="722"/>
      <c r="D87" s="722"/>
      <c r="E87" s="723"/>
      <c r="F87" s="476">
        <f ca="1">'ql calcs'!B130</f>
        <v>0</v>
      </c>
    </row>
    <row r="88" spans="1:8" ht="3.75" customHeight="1" thickBot="1">
      <c r="A88" s="458"/>
      <c r="B88" s="457"/>
      <c r="C88" s="457"/>
      <c r="D88" s="457"/>
      <c r="E88" s="459"/>
      <c r="F88" s="477"/>
    </row>
    <row r="89" spans="1:8" ht="15.75" customHeight="1" thickBot="1">
      <c r="A89" s="458" t="s">
        <v>78</v>
      </c>
      <c r="B89" s="722" t="s">
        <v>519</v>
      </c>
      <c r="C89" s="724"/>
      <c r="D89" s="724"/>
      <c r="E89" s="725"/>
      <c r="F89" s="476">
        <f ca="1">'ql calcs'!B134</f>
        <v>0</v>
      </c>
    </row>
    <row r="90" spans="1:8" ht="15.75" customHeight="1">
      <c r="A90" s="460"/>
      <c r="F90" s="454"/>
    </row>
    <row r="91" spans="1:8" ht="15.75" customHeight="1">
      <c r="A91" s="461"/>
      <c r="B91" s="278" t="s">
        <v>70</v>
      </c>
      <c r="F91" s="457"/>
    </row>
    <row r="92" spans="1:8" ht="15.75" customHeight="1">
      <c r="A92" s="462" t="s">
        <v>293</v>
      </c>
      <c r="B92" s="463" t="s">
        <v>294</v>
      </c>
      <c r="F92" s="457"/>
    </row>
    <row r="93" spans="1:8" ht="7.5" customHeight="1" thickBot="1">
      <c r="A93" s="251"/>
      <c r="B93" s="278"/>
      <c r="F93" s="408"/>
    </row>
    <row r="94" spans="1:8" ht="16.5" customHeight="1" thickBot="1">
      <c r="A94" s="464">
        <v>3</v>
      </c>
      <c r="B94" s="465" t="s">
        <v>13</v>
      </c>
      <c r="F94" s="476">
        <f ca="1">F89+'ql calcs'!C147</f>
        <v>0</v>
      </c>
    </row>
    <row r="95" spans="1:8" ht="3.75" customHeight="1" thickBot="1">
      <c r="A95" s="466">
        <v>3</v>
      </c>
      <c r="B95" s="465"/>
      <c r="F95" s="479"/>
    </row>
    <row r="96" spans="1:8" ht="16.5" customHeight="1" thickBot="1">
      <c r="A96" s="464">
        <v>3</v>
      </c>
      <c r="B96" s="465" t="s">
        <v>14</v>
      </c>
      <c r="F96" s="476">
        <f ca="1">F94+'ql calcs'!C148</f>
        <v>0</v>
      </c>
    </row>
    <row r="97" spans="1:6" ht="3.75" customHeight="1" thickBot="1">
      <c r="A97" s="466">
        <v>3</v>
      </c>
      <c r="B97" s="465"/>
      <c r="F97" s="479"/>
    </row>
    <row r="98" spans="1:6" ht="16.5" customHeight="1" thickBot="1">
      <c r="A98" s="464">
        <v>3</v>
      </c>
      <c r="B98" s="465" t="s">
        <v>29</v>
      </c>
      <c r="F98" s="476">
        <f ca="1">F96+'ql calcs'!C149</f>
        <v>0</v>
      </c>
    </row>
    <row r="99" spans="1:6" ht="4.5" customHeight="1" thickBot="1">
      <c r="A99" s="466"/>
      <c r="B99" s="465"/>
      <c r="F99" s="479"/>
    </row>
    <row r="100" spans="1:6" ht="16.5" customHeight="1" thickBot="1">
      <c r="A100" s="464">
        <v>3</v>
      </c>
      <c r="B100" s="465" t="s">
        <v>15</v>
      </c>
      <c r="F100" s="476">
        <f ca="1">F98+'ql calcs'!C150</f>
        <v>0</v>
      </c>
    </row>
    <row r="101" spans="1:6" ht="4.5" customHeight="1" thickBot="1">
      <c r="A101" s="466"/>
      <c r="B101" s="465"/>
      <c r="F101" s="479"/>
    </row>
    <row r="102" spans="1:6" ht="16.5" customHeight="1" thickBot="1">
      <c r="A102" s="464">
        <v>3</v>
      </c>
      <c r="B102" s="465" t="s">
        <v>16</v>
      </c>
      <c r="F102" s="476">
        <f ca="1">F100+'ql calcs'!C151</f>
        <v>0</v>
      </c>
    </row>
    <row r="103" spans="1:6" ht="33.75" customHeight="1">
      <c r="A103" s="249" t="s">
        <v>736</v>
      </c>
      <c r="F103" s="467" t="s">
        <v>624</v>
      </c>
    </row>
    <row r="104" spans="1:6" ht="7.5" customHeight="1" thickBot="1">
      <c r="A104" s="468"/>
    </row>
    <row r="105" spans="1:6">
      <c r="A105" s="650" t="s">
        <v>538</v>
      </c>
      <c r="B105" s="650"/>
      <c r="C105" s="377" t="s">
        <v>595</v>
      </c>
      <c r="E105" s="480">
        <f>'ql calcs'!B68/1000</f>
        <v>0</v>
      </c>
    </row>
    <row r="106" spans="1:6">
      <c r="A106" s="650"/>
      <c r="B106" s="650"/>
      <c r="C106" s="377" t="s">
        <v>596</v>
      </c>
      <c r="E106" s="481">
        <f>'ql calcs'!C78/1000</f>
        <v>0</v>
      </c>
    </row>
    <row r="107" spans="1:6" ht="13" thickBot="1">
      <c r="A107" s="704"/>
      <c r="B107" s="704"/>
      <c r="C107" s="377" t="s">
        <v>823</v>
      </c>
      <c r="E107" s="482">
        <f ca="1">'ql calcs'!C153</f>
        <v>0</v>
      </c>
    </row>
    <row r="108" spans="1:6" ht="15.5" thickBot="1">
      <c r="A108" s="240"/>
      <c r="B108" s="240"/>
      <c r="C108" s="299" t="s">
        <v>824</v>
      </c>
      <c r="E108" s="483">
        <f ca="1">SUM(E105:E107)</f>
        <v>0</v>
      </c>
      <c r="F108" s="278" t="s">
        <v>198</v>
      </c>
    </row>
    <row r="109" spans="1:6">
      <c r="E109" s="239"/>
    </row>
    <row r="110" spans="1:6">
      <c r="E110" s="239"/>
    </row>
    <row r="111" spans="1:6" ht="13">
      <c r="A111" s="469" t="s">
        <v>439</v>
      </c>
      <c r="E111" s="239"/>
    </row>
    <row r="112" spans="1:6">
      <c r="A112" s="241" t="s">
        <v>519</v>
      </c>
      <c r="E112" s="239"/>
    </row>
    <row r="113" spans="1:5">
      <c r="A113" s="241" t="str">
        <f>'ql calcs'!C41</f>
        <v>All our food is organic</v>
      </c>
      <c r="E113" s="239"/>
    </row>
    <row r="114" spans="1:5">
      <c r="A114" s="241" t="str">
        <f>'ql calcs'!C42</f>
        <v>Most of our food is organic</v>
      </c>
      <c r="E114" s="239"/>
    </row>
    <row r="115" spans="1:5">
      <c r="A115" s="241" t="str">
        <f>'ql calcs'!C43</f>
        <v>Around half our food is organic</v>
      </c>
      <c r="E115" s="239"/>
    </row>
    <row r="116" spans="1:5">
      <c r="A116" s="241" t="str">
        <f>'ql calcs'!C44</f>
        <v>Some of our food is organic</v>
      </c>
      <c r="E116" s="239"/>
    </row>
    <row r="117" spans="1:5">
      <c r="A117" s="241" t="str">
        <f>'ql calcs'!C45</f>
        <v>Rarely buy organic food</v>
      </c>
      <c r="E117" s="239"/>
    </row>
    <row r="118" spans="1:5">
      <c r="A118" s="241" t="s">
        <v>519</v>
      </c>
      <c r="E118" s="239"/>
    </row>
    <row r="119" spans="1:5">
      <c r="A119" s="241" t="str">
        <f>'ql calcs'!C47</f>
        <v>We eat ready meals at least once a week</v>
      </c>
      <c r="E119" s="239"/>
    </row>
    <row r="120" spans="1:5">
      <c r="A120" s="241" t="str">
        <f>'ql calcs'!C48</f>
        <v>We eat ready meals less than once a week</v>
      </c>
      <c r="E120" s="239"/>
    </row>
    <row r="121" spans="1:5">
      <c r="A121" s="241" t="str">
        <f>'ql calcs'!C49</f>
        <v>We never eat ready meals</v>
      </c>
      <c r="E121" s="239"/>
    </row>
    <row r="122" spans="1:5">
      <c r="A122" s="241" t="s">
        <v>519</v>
      </c>
      <c r="E122" s="239"/>
    </row>
    <row r="123" spans="1:5">
      <c r="A123" s="241" t="str">
        <f>'ql calcs'!C51</f>
        <v>We only eat fruit and veg that’s in season locally</v>
      </c>
      <c r="E123" s="239"/>
    </row>
    <row r="124" spans="1:5">
      <c r="A124" s="241" t="str">
        <f>'ql calcs'!C52</f>
        <v>We sometimes eat out-of-season food</v>
      </c>
      <c r="E124" s="239"/>
    </row>
    <row r="125" spans="1:5">
      <c r="A125" s="241" t="str">
        <f>'ql calcs'!C53</f>
        <v>We regularly eat out-of-season food</v>
      </c>
      <c r="E125" s="239"/>
    </row>
    <row r="126" spans="1:5">
      <c r="A126" s="241" t="s">
        <v>519</v>
      </c>
      <c r="E126" s="239"/>
    </row>
    <row r="127" spans="1:5">
      <c r="A127" s="241" t="str">
        <f>'ql calcs'!C55</f>
        <v>We never eat air freighted goods</v>
      </c>
      <c r="E127" s="239"/>
    </row>
    <row r="128" spans="1:5">
      <c r="A128" s="241" t="str">
        <f>'ql calcs'!C56</f>
        <v>we rarely eat air freighted goods</v>
      </c>
      <c r="E128" s="239"/>
    </row>
    <row r="129" spans="1:5">
      <c r="A129" s="241" t="str">
        <f>'ql calcs'!C57</f>
        <v>We sometimes eat airfeighted goods</v>
      </c>
      <c r="E129" s="239"/>
    </row>
    <row r="130" spans="1:5">
      <c r="A130" s="241" t="str">
        <f>'ql calcs'!C58</f>
        <v>We often eat airfeighted goods</v>
      </c>
      <c r="E130" s="239"/>
    </row>
    <row r="131" spans="1:5">
      <c r="A131" s="241" t="s">
        <v>519</v>
      </c>
      <c r="E131" s="239"/>
    </row>
    <row r="132" spans="1:5">
      <c r="A132" s="241" t="str">
        <f>'ql calcs'!C60</f>
        <v>We do not grow our own food</v>
      </c>
      <c r="E132" s="239"/>
    </row>
    <row r="133" spans="1:5">
      <c r="A133" s="241" t="str">
        <f>'ql calcs'!C61</f>
        <v>We grow some of our own veg in the summer</v>
      </c>
      <c r="E133" s="239"/>
    </row>
    <row r="134" spans="1:5">
      <c r="A134" s="241" t="str">
        <f>'ql calcs'!C62</f>
        <v>We grow most of our own veg in the summer</v>
      </c>
      <c r="E134" s="239"/>
    </row>
    <row r="135" spans="1:5">
      <c r="A135" s="241" t="str">
        <f>'ql calcs'!C63</f>
        <v>We grow almost all of our own veg</v>
      </c>
      <c r="E135" s="239"/>
    </row>
    <row r="136" spans="1:5">
      <c r="A136" s="241" t="s">
        <v>519</v>
      </c>
      <c r="E136" s="239"/>
    </row>
    <row r="137" spans="1:5">
      <c r="A137" s="241" t="str">
        <f>'ql calcs'!C65</f>
        <v xml:space="preserve">We do not compost our kitchen waste </v>
      </c>
      <c r="E137" s="239"/>
    </row>
    <row r="138" spans="1:5">
      <c r="A138" s="241" t="str">
        <f>'ql calcs'!C66</f>
        <v>We compost some of our kitchen waste</v>
      </c>
      <c r="E138" s="239"/>
    </row>
    <row r="139" spans="1:5">
      <c r="A139" s="241" t="str">
        <f>'ql calcs'!C67</f>
        <v>We compost all of our kitchen waste</v>
      </c>
      <c r="E139" s="239"/>
    </row>
    <row r="140" spans="1:5">
      <c r="A140" s="241">
        <f>'ql calcs'!C68</f>
        <v>0</v>
      </c>
      <c r="E140" s="239"/>
    </row>
    <row r="141" spans="1:5">
      <c r="A141" s="241" t="s">
        <v>519</v>
      </c>
      <c r="E141" s="239"/>
    </row>
    <row r="142" spans="1:5">
      <c r="A142" s="241" t="str">
        <f>'ql calcs'!C119</f>
        <v>We regularly upgrade our household technology.</v>
      </c>
      <c r="E142" s="239"/>
    </row>
    <row r="143" spans="1:5">
      <c r="A143" s="241" t="str">
        <f>'ql calcs'!C120</f>
        <v>We replace electronic and electrical items when they break.</v>
      </c>
      <c r="E143" s="239"/>
    </row>
    <row r="144" spans="1:5">
      <c r="A144" s="241" t="str">
        <f>'ql calcs'!C121</f>
        <v>We don't have many electrical or electronic items.</v>
      </c>
      <c r="E144" s="239"/>
    </row>
    <row r="145" spans="1:6">
      <c r="A145" s="241" t="s">
        <v>519</v>
      </c>
      <c r="E145" s="239"/>
    </row>
    <row r="146" spans="1:6">
      <c r="A146" s="241" t="str">
        <f>'ql calcs'!C123</f>
        <v>We like to keep up with the latest fashions and buy new clothes every week.</v>
      </c>
      <c r="E146" s="239"/>
    </row>
    <row r="147" spans="1:6">
      <c r="A147" s="241" t="str">
        <f>'ql calcs'!C124</f>
        <v>We buy new clothes to replace worn out items or for special occasions.</v>
      </c>
      <c r="E147" s="239"/>
    </row>
    <row r="148" spans="1:6">
      <c r="A148" s="241" t="str">
        <f>'ql calcs'!C125</f>
        <v>We rarely buy new clothes.</v>
      </c>
      <c r="E148" s="239"/>
    </row>
    <row r="149" spans="1:6">
      <c r="A149" s="241" t="s">
        <v>519</v>
      </c>
      <c r="E149" s="239"/>
    </row>
    <row r="150" spans="1:6">
      <c r="A150" s="241" t="str">
        <f>'ql calcs'!C127</f>
        <v>We never buy recycled products.</v>
      </c>
      <c r="E150" s="239"/>
    </row>
    <row r="151" spans="1:6">
      <c r="A151" s="241" t="str">
        <f>'ql calcs'!C128</f>
        <v>We sometimes buy recycled products.</v>
      </c>
      <c r="D151" s="241"/>
      <c r="E151" s="241"/>
      <c r="F151" s="240"/>
    </row>
    <row r="152" spans="1:6">
      <c r="A152" s="241" t="str">
        <f>'ql calcs'!C129</f>
        <v>We always buy recycled products.</v>
      </c>
      <c r="D152" s="241"/>
      <c r="E152" s="241"/>
      <c r="F152" s="240"/>
    </row>
    <row r="153" spans="1:6">
      <c r="A153" s="241" t="s">
        <v>519</v>
      </c>
      <c r="D153" s="240"/>
      <c r="E153" s="240"/>
      <c r="F153" s="240"/>
    </row>
    <row r="154" spans="1:6">
      <c r="A154" s="241" t="str">
        <f>'ql calcs'!C131</f>
        <v>We never buy second hand items.</v>
      </c>
      <c r="D154" s="240"/>
      <c r="E154" s="240"/>
      <c r="F154" s="240"/>
    </row>
    <row r="155" spans="1:6">
      <c r="A155" s="241" t="str">
        <f>'ql calcs'!C132</f>
        <v>We sometimes buy second hand items.</v>
      </c>
      <c r="D155" s="240"/>
      <c r="E155" s="240"/>
      <c r="F155" s="240"/>
    </row>
    <row r="156" spans="1:6">
      <c r="A156" s="241" t="str">
        <f>'ql calcs'!C133</f>
        <v>Whenever possible we buy second hand items.</v>
      </c>
      <c r="D156" s="240"/>
      <c r="E156" s="240"/>
      <c r="F156" s="240"/>
    </row>
    <row r="157" spans="1:6">
      <c r="D157" s="240"/>
      <c r="E157" s="240"/>
      <c r="F157" s="240"/>
    </row>
    <row r="158" spans="1:6">
      <c r="D158" s="240"/>
      <c r="E158" s="240"/>
      <c r="F158" s="240"/>
    </row>
    <row r="159" spans="1:6">
      <c r="D159" s="240"/>
      <c r="E159" s="240"/>
      <c r="F159" s="240"/>
    </row>
    <row r="160" spans="1:6">
      <c r="D160" s="240"/>
      <c r="E160" s="240"/>
      <c r="F160" s="240"/>
    </row>
    <row r="161" spans="1:6">
      <c r="D161" s="240"/>
      <c r="E161" s="240"/>
      <c r="F161" s="240"/>
    </row>
    <row r="162" spans="1:6">
      <c r="D162" s="240"/>
      <c r="E162" s="240"/>
      <c r="F162" s="240"/>
    </row>
    <row r="163" spans="1:6">
      <c r="D163" s="240"/>
      <c r="E163" s="240"/>
      <c r="F163" s="240"/>
    </row>
    <row r="164" spans="1:6">
      <c r="D164" s="240"/>
      <c r="E164" s="240"/>
      <c r="F164" s="240"/>
    </row>
    <row r="165" spans="1:6">
      <c r="D165" s="241"/>
      <c r="E165" s="241"/>
      <c r="F165" s="241"/>
    </row>
    <row r="166" spans="1:6">
      <c r="D166" s="241"/>
      <c r="E166" s="241"/>
      <c r="F166" s="241"/>
    </row>
    <row r="167" spans="1:6">
      <c r="D167" s="241"/>
      <c r="E167" s="241"/>
      <c r="F167" s="241"/>
    </row>
    <row r="168" spans="1:6">
      <c r="D168" s="241"/>
      <c r="E168" s="241"/>
      <c r="F168" s="241"/>
    </row>
    <row r="169" spans="1:6">
      <c r="A169" s="241"/>
      <c r="B169" s="240"/>
      <c r="C169" s="241"/>
      <c r="D169" s="241"/>
      <c r="E169" s="241"/>
      <c r="F169" s="241"/>
    </row>
    <row r="170" spans="1:6">
      <c r="A170" s="241"/>
      <c r="B170" s="240"/>
      <c r="C170" s="241"/>
      <c r="D170" s="241"/>
      <c r="E170" s="241"/>
      <c r="F170" s="241"/>
    </row>
    <row r="171" spans="1:6">
      <c r="A171" s="241"/>
      <c r="B171" s="240"/>
      <c r="C171" s="241"/>
      <c r="D171" s="241"/>
      <c r="E171" s="241"/>
      <c r="F171" s="241"/>
    </row>
    <row r="172" spans="1:6">
      <c r="A172" s="241"/>
      <c r="B172" s="240"/>
      <c r="C172" s="241"/>
      <c r="D172" s="241"/>
      <c r="E172" s="241"/>
      <c r="F172" s="241"/>
    </row>
    <row r="173" spans="1:6">
      <c r="A173" s="241"/>
      <c r="B173" s="240"/>
      <c r="C173" s="241"/>
      <c r="D173" s="241"/>
      <c r="E173" s="241"/>
      <c r="F173" s="241"/>
    </row>
    <row r="174" spans="1:6">
      <c r="A174" s="241"/>
      <c r="B174" s="240"/>
      <c r="C174" s="241"/>
      <c r="D174" s="241"/>
      <c r="E174" s="241"/>
      <c r="F174" s="241"/>
    </row>
    <row r="175" spans="1:6">
      <c r="A175" s="241"/>
      <c r="B175" s="240"/>
      <c r="C175" s="241"/>
      <c r="D175" s="241"/>
      <c r="E175" s="241"/>
      <c r="F175" s="241"/>
    </row>
    <row r="176" spans="1:6">
      <c r="A176" s="241"/>
      <c r="B176" s="240"/>
      <c r="C176" s="241"/>
      <c r="D176" s="241"/>
      <c r="E176" s="241"/>
      <c r="F176" s="241"/>
    </row>
    <row r="177" spans="1:6">
      <c r="A177" s="241"/>
      <c r="B177" s="240"/>
      <c r="C177" s="241"/>
      <c r="D177" s="241"/>
      <c r="E177" s="241"/>
      <c r="F177" s="241"/>
    </row>
    <row r="178" spans="1:6">
      <c r="A178" s="241"/>
      <c r="B178" s="240"/>
      <c r="C178" s="241"/>
      <c r="D178" s="241"/>
      <c r="E178" s="241"/>
      <c r="F178" s="241"/>
    </row>
    <row r="179" spans="1:6">
      <c r="A179" s="241"/>
      <c r="B179" s="240"/>
      <c r="C179" s="241"/>
      <c r="D179" s="241"/>
      <c r="E179" s="241"/>
      <c r="F179" s="241"/>
    </row>
    <row r="180" spans="1:6">
      <c r="A180" s="241"/>
      <c r="B180" s="240"/>
      <c r="C180" s="241"/>
      <c r="D180" s="241"/>
      <c r="E180" s="241"/>
      <c r="F180" s="241"/>
    </row>
    <row r="181" spans="1:6">
      <c r="A181" s="241"/>
      <c r="B181" s="240"/>
      <c r="C181" s="241"/>
      <c r="D181" s="241"/>
      <c r="E181" s="241"/>
      <c r="F181" s="241"/>
    </row>
    <row r="182" spans="1:6">
      <c r="A182" s="241"/>
      <c r="B182" s="240"/>
      <c r="C182" s="241"/>
      <c r="D182" s="241"/>
      <c r="E182" s="241"/>
      <c r="F182" s="241"/>
    </row>
    <row r="183" spans="1:6">
      <c r="A183" s="241"/>
      <c r="B183" s="240"/>
      <c r="C183" s="241"/>
      <c r="D183" s="241"/>
      <c r="E183" s="241"/>
      <c r="F183" s="241"/>
    </row>
    <row r="184" spans="1:6">
      <c r="A184" s="241"/>
      <c r="B184" s="240"/>
      <c r="C184" s="241"/>
      <c r="D184" s="241"/>
      <c r="E184" s="241"/>
      <c r="F184" s="241"/>
    </row>
    <row r="185" spans="1:6">
      <c r="A185" s="241"/>
      <c r="B185" s="240"/>
      <c r="C185" s="241"/>
      <c r="D185" s="241"/>
      <c r="E185" s="241"/>
      <c r="F185" s="241"/>
    </row>
    <row r="186" spans="1:6">
      <c r="A186" s="241"/>
      <c r="B186" s="240"/>
      <c r="C186" s="241"/>
      <c r="D186" s="241"/>
      <c r="E186" s="241"/>
      <c r="F186" s="241"/>
    </row>
    <row r="187" spans="1:6">
      <c r="A187" s="241"/>
      <c r="B187" s="240"/>
      <c r="C187" s="241"/>
      <c r="D187" s="241"/>
      <c r="E187" s="241"/>
      <c r="F187" s="241"/>
    </row>
    <row r="188" spans="1:6">
      <c r="A188" s="241"/>
      <c r="B188" s="240"/>
      <c r="C188" s="241"/>
      <c r="D188" s="241"/>
      <c r="E188" s="241"/>
      <c r="F188" s="241"/>
    </row>
    <row r="189" spans="1:6">
      <c r="A189" s="241"/>
      <c r="B189" s="240"/>
      <c r="C189" s="241"/>
      <c r="D189" s="241"/>
      <c r="E189" s="241"/>
      <c r="F189" s="241"/>
    </row>
    <row r="190" spans="1:6">
      <c r="A190" s="241"/>
      <c r="B190" s="240"/>
      <c r="C190" s="241"/>
      <c r="D190" s="241"/>
      <c r="E190" s="241"/>
      <c r="F190" s="241"/>
    </row>
    <row r="191" spans="1:6">
      <c r="A191" s="241"/>
      <c r="B191" s="241"/>
      <c r="C191" s="241"/>
      <c r="D191" s="241"/>
      <c r="E191" s="241"/>
      <c r="F191" s="241"/>
    </row>
    <row r="192" spans="1:6">
      <c r="A192" s="241"/>
      <c r="B192" s="241"/>
      <c r="C192" s="241"/>
      <c r="D192" s="241"/>
      <c r="E192" s="241"/>
      <c r="F192" s="241"/>
    </row>
    <row r="193" spans="1:6">
      <c r="A193" s="241"/>
      <c r="B193" s="241"/>
      <c r="C193" s="241"/>
      <c r="D193" s="241"/>
      <c r="E193" s="241"/>
      <c r="F193" s="241"/>
    </row>
    <row r="194" spans="1:6">
      <c r="A194" s="241"/>
      <c r="B194" s="241"/>
      <c r="C194" s="241"/>
      <c r="D194" s="241"/>
      <c r="E194" s="241"/>
      <c r="F194" s="241"/>
    </row>
    <row r="195" spans="1:6">
      <c r="A195" s="241"/>
      <c r="B195" s="241"/>
      <c r="C195" s="241"/>
      <c r="D195" s="241"/>
      <c r="E195" s="241"/>
      <c r="F195" s="241"/>
    </row>
    <row r="196" spans="1:6">
      <c r="A196" s="241"/>
      <c r="B196" s="241"/>
      <c r="C196" s="241"/>
      <c r="D196" s="241"/>
      <c r="E196" s="241"/>
      <c r="F196" s="241"/>
    </row>
    <row r="197" spans="1:6">
      <c r="A197" s="241"/>
      <c r="B197" s="241"/>
      <c r="C197" s="241"/>
      <c r="D197" s="241"/>
      <c r="E197" s="241"/>
      <c r="F197" s="241"/>
    </row>
    <row r="198" spans="1:6">
      <c r="A198" s="241"/>
      <c r="B198" s="241"/>
      <c r="C198" s="241"/>
      <c r="D198" s="241"/>
      <c r="E198" s="241"/>
      <c r="F198" s="241"/>
    </row>
    <row r="199" spans="1:6">
      <c r="A199" s="241"/>
      <c r="B199" s="241"/>
      <c r="C199" s="241"/>
      <c r="D199" s="241"/>
      <c r="E199" s="241"/>
      <c r="F199" s="241"/>
    </row>
    <row r="200" spans="1:6">
      <c r="A200" s="241"/>
      <c r="B200" s="241"/>
      <c r="C200" s="241"/>
      <c r="D200" s="241"/>
      <c r="E200" s="241"/>
      <c r="F200" s="241"/>
    </row>
    <row r="201" spans="1:6">
      <c r="A201" s="241"/>
      <c r="B201" s="241"/>
      <c r="C201" s="241"/>
      <c r="D201" s="241"/>
      <c r="E201" s="241"/>
      <c r="F201" s="241"/>
    </row>
    <row r="202" spans="1:6">
      <c r="A202" s="241"/>
      <c r="B202" s="241"/>
      <c r="C202" s="241"/>
      <c r="D202" s="241"/>
      <c r="E202" s="241"/>
      <c r="F202" s="241"/>
    </row>
    <row r="203" spans="1:6">
      <c r="A203" s="241"/>
      <c r="B203" s="241"/>
      <c r="C203" s="241"/>
      <c r="D203" s="241"/>
      <c r="E203" s="241"/>
      <c r="F203" s="241"/>
    </row>
    <row r="204" spans="1:6">
      <c r="A204" s="241"/>
      <c r="B204" s="241"/>
      <c r="C204" s="241"/>
      <c r="D204" s="241"/>
      <c r="E204" s="241"/>
      <c r="F204" s="241"/>
    </row>
    <row r="205" spans="1:6">
      <c r="A205" s="241"/>
      <c r="B205" s="241"/>
      <c r="C205" s="241"/>
      <c r="D205" s="241"/>
      <c r="E205" s="241"/>
      <c r="F205" s="241"/>
    </row>
    <row r="206" spans="1:6">
      <c r="A206" s="241"/>
      <c r="B206" s="241"/>
      <c r="C206" s="241"/>
      <c r="D206" s="241"/>
      <c r="E206" s="241"/>
      <c r="F206" s="241"/>
    </row>
    <row r="207" spans="1:6">
      <c r="A207" s="241"/>
      <c r="B207" s="241"/>
      <c r="C207" s="241"/>
      <c r="D207" s="241"/>
      <c r="E207" s="241"/>
      <c r="F207" s="241"/>
    </row>
    <row r="208" spans="1:6">
      <c r="A208" s="241"/>
      <c r="B208" s="241"/>
      <c r="C208" s="241"/>
      <c r="D208" s="241"/>
      <c r="E208" s="241"/>
      <c r="F208" s="241"/>
    </row>
    <row r="209" spans="1:6">
      <c r="A209" s="241"/>
      <c r="B209" s="241"/>
      <c r="C209" s="241"/>
      <c r="D209" s="241"/>
      <c r="E209" s="241"/>
      <c r="F209" s="241"/>
    </row>
    <row r="210" spans="1:6">
      <c r="A210" s="241"/>
      <c r="B210" s="241"/>
      <c r="C210" s="241"/>
      <c r="D210" s="241"/>
      <c r="E210" s="241"/>
      <c r="F210" s="241"/>
    </row>
    <row r="211" spans="1:6">
      <c r="A211" s="241"/>
      <c r="B211" s="241"/>
      <c r="C211" s="241"/>
      <c r="D211" s="241"/>
      <c r="E211" s="241"/>
      <c r="F211" s="241"/>
    </row>
    <row r="212" spans="1:6">
      <c r="A212" s="241"/>
      <c r="B212" s="241"/>
      <c r="C212" s="241"/>
      <c r="D212" s="241"/>
      <c r="E212" s="241"/>
      <c r="F212" s="241"/>
    </row>
    <row r="213" spans="1:6">
      <c r="A213" s="241"/>
      <c r="B213" s="241"/>
      <c r="C213" s="241"/>
      <c r="D213" s="241"/>
      <c r="E213" s="241"/>
      <c r="F213" s="241"/>
    </row>
    <row r="214" spans="1:6">
      <c r="A214" s="241"/>
      <c r="B214" s="241"/>
      <c r="C214" s="241"/>
      <c r="D214" s="241"/>
      <c r="E214" s="241"/>
      <c r="F214" s="241"/>
    </row>
    <row r="215" spans="1:6">
      <c r="A215" s="241"/>
      <c r="B215" s="241"/>
      <c r="C215" s="241"/>
      <c r="D215" s="241"/>
      <c r="E215" s="241"/>
      <c r="F215" s="241"/>
    </row>
    <row r="216" spans="1:6">
      <c r="A216" s="241"/>
      <c r="B216" s="241"/>
      <c r="C216" s="241"/>
      <c r="D216" s="241"/>
      <c r="E216" s="241"/>
      <c r="F216" s="241"/>
    </row>
    <row r="217" spans="1:6">
      <c r="A217" s="241"/>
      <c r="B217" s="241"/>
      <c r="C217" s="241"/>
      <c r="D217" s="241"/>
      <c r="E217" s="241"/>
      <c r="F217" s="241"/>
    </row>
    <row r="218" spans="1:6">
      <c r="A218" s="241"/>
      <c r="B218" s="241"/>
      <c r="C218" s="241"/>
      <c r="D218" s="241"/>
      <c r="E218" s="241"/>
      <c r="F218" s="241"/>
    </row>
    <row r="219" spans="1:6">
      <c r="A219" s="241"/>
      <c r="B219" s="241"/>
      <c r="C219" s="241"/>
      <c r="D219" s="241"/>
      <c r="E219" s="241"/>
      <c r="F219" s="241"/>
    </row>
    <row r="220" spans="1:6">
      <c r="A220" s="241"/>
      <c r="B220" s="241"/>
      <c r="C220" s="241"/>
      <c r="D220" s="241"/>
      <c r="E220" s="241"/>
      <c r="F220" s="241"/>
    </row>
    <row r="221" spans="1:6">
      <c r="A221" s="241"/>
      <c r="B221" s="241"/>
      <c r="C221" s="241"/>
      <c r="D221" s="241"/>
      <c r="E221" s="241"/>
      <c r="F221" s="241"/>
    </row>
    <row r="222" spans="1:6">
      <c r="A222" s="241"/>
      <c r="B222" s="241"/>
      <c r="C222" s="241"/>
      <c r="D222" s="241"/>
      <c r="E222" s="241"/>
      <c r="F222" s="241"/>
    </row>
    <row r="223" spans="1:6">
      <c r="A223" s="241"/>
      <c r="B223" s="241"/>
      <c r="C223" s="241"/>
      <c r="D223" s="241"/>
      <c r="E223" s="241"/>
      <c r="F223" s="241"/>
    </row>
    <row r="224" spans="1:6">
      <c r="A224" s="241"/>
      <c r="B224" s="241"/>
      <c r="C224" s="241"/>
      <c r="D224" s="241"/>
      <c r="E224" s="241"/>
      <c r="F224" s="241"/>
    </row>
    <row r="225" spans="1:6">
      <c r="A225" s="241"/>
      <c r="B225" s="241"/>
      <c r="C225" s="241"/>
      <c r="D225" s="241"/>
      <c r="E225" s="241"/>
      <c r="F225" s="241"/>
    </row>
    <row r="226" spans="1:6">
      <c r="A226" s="241"/>
      <c r="B226" s="241"/>
      <c r="C226" s="241"/>
      <c r="D226" s="241"/>
      <c r="E226" s="241"/>
      <c r="F226" s="241"/>
    </row>
    <row r="227" spans="1:6">
      <c r="A227" s="241"/>
      <c r="B227" s="241"/>
      <c r="C227" s="241"/>
      <c r="D227" s="241"/>
      <c r="E227" s="241"/>
      <c r="F227" s="241"/>
    </row>
    <row r="228" spans="1:6">
      <c r="A228" s="241"/>
      <c r="B228" s="241"/>
      <c r="C228" s="241"/>
      <c r="D228" s="241"/>
      <c r="E228" s="241"/>
      <c r="F228" s="241"/>
    </row>
    <row r="229" spans="1:6">
      <c r="A229" s="241"/>
      <c r="B229" s="241"/>
      <c r="C229" s="241"/>
      <c r="D229" s="241"/>
      <c r="E229" s="241"/>
      <c r="F229" s="241"/>
    </row>
    <row r="230" spans="1:6">
      <c r="A230" s="241"/>
      <c r="B230" s="241"/>
      <c r="C230" s="241"/>
      <c r="D230" s="241"/>
      <c r="E230" s="241"/>
      <c r="F230" s="241"/>
    </row>
    <row r="231" spans="1:6">
      <c r="A231" s="241"/>
      <c r="B231" s="241"/>
      <c r="C231" s="241"/>
      <c r="D231" s="241"/>
      <c r="E231" s="241"/>
      <c r="F231" s="241"/>
    </row>
    <row r="232" spans="1:6">
      <c r="A232" s="241"/>
      <c r="B232" s="241"/>
      <c r="C232" s="241"/>
      <c r="D232" s="241"/>
      <c r="E232" s="241"/>
      <c r="F232" s="241"/>
    </row>
    <row r="233" spans="1:6">
      <c r="A233" s="241"/>
      <c r="B233" s="241"/>
      <c r="C233" s="241"/>
      <c r="D233" s="241"/>
      <c r="E233" s="241"/>
      <c r="F233" s="241"/>
    </row>
    <row r="234" spans="1:6">
      <c r="A234" s="241"/>
      <c r="B234" s="241"/>
      <c r="C234" s="241"/>
      <c r="D234" s="241"/>
      <c r="E234" s="241"/>
      <c r="F234" s="241"/>
    </row>
    <row r="235" spans="1:6">
      <c r="A235" s="241"/>
      <c r="B235" s="241"/>
      <c r="C235" s="241"/>
      <c r="D235" s="241"/>
      <c r="E235" s="241"/>
      <c r="F235" s="241"/>
    </row>
    <row r="236" spans="1:6">
      <c r="A236" s="241"/>
      <c r="B236" s="241"/>
      <c r="C236" s="241"/>
      <c r="D236" s="241"/>
      <c r="E236" s="241"/>
      <c r="F236" s="241"/>
    </row>
    <row r="237" spans="1:6">
      <c r="A237" s="241"/>
      <c r="B237" s="241"/>
      <c r="C237" s="241"/>
      <c r="D237" s="241"/>
      <c r="E237" s="241"/>
      <c r="F237" s="241"/>
    </row>
    <row r="238" spans="1:6">
      <c r="A238" s="241"/>
      <c r="B238" s="241"/>
      <c r="C238" s="241"/>
      <c r="D238" s="241"/>
      <c r="E238" s="241"/>
      <c r="F238" s="241"/>
    </row>
    <row r="239" spans="1:6">
      <c r="A239" s="241"/>
      <c r="B239" s="241"/>
      <c r="C239" s="241"/>
      <c r="D239" s="241"/>
      <c r="E239" s="241"/>
      <c r="F239" s="241"/>
    </row>
    <row r="240" spans="1:6">
      <c r="A240" s="241"/>
      <c r="B240" s="241"/>
      <c r="C240" s="241"/>
      <c r="D240" s="241"/>
      <c r="E240" s="241"/>
      <c r="F240" s="241"/>
    </row>
    <row r="241" spans="1:6">
      <c r="A241" s="241"/>
      <c r="B241" s="241"/>
      <c r="C241" s="241"/>
      <c r="D241" s="241"/>
      <c r="E241" s="241"/>
      <c r="F241" s="241"/>
    </row>
    <row r="242" spans="1:6">
      <c r="A242" s="241"/>
      <c r="B242" s="241"/>
      <c r="C242" s="241"/>
      <c r="D242" s="241"/>
      <c r="E242" s="241"/>
      <c r="F242" s="241"/>
    </row>
    <row r="243" spans="1:6">
      <c r="A243" s="241"/>
      <c r="B243" s="241"/>
      <c r="C243" s="241"/>
      <c r="D243" s="241"/>
      <c r="E243" s="241"/>
      <c r="F243" s="241"/>
    </row>
    <row r="244" spans="1:6">
      <c r="A244" s="241"/>
      <c r="B244" s="241"/>
      <c r="C244" s="241"/>
      <c r="D244" s="241"/>
      <c r="E244" s="241"/>
      <c r="F244" s="241"/>
    </row>
    <row r="245" spans="1:6">
      <c r="A245" s="241"/>
      <c r="B245" s="241"/>
      <c r="C245" s="241"/>
      <c r="D245" s="241"/>
      <c r="E245" s="241"/>
      <c r="F245" s="241"/>
    </row>
    <row r="246" spans="1:6">
      <c r="A246" s="241"/>
      <c r="B246" s="241"/>
      <c r="C246" s="241"/>
      <c r="D246" s="241"/>
      <c r="E246" s="241"/>
      <c r="F246" s="241"/>
    </row>
    <row r="247" spans="1:6">
      <c r="A247" s="241"/>
      <c r="B247" s="241"/>
      <c r="C247" s="241"/>
      <c r="D247" s="241"/>
      <c r="E247" s="241"/>
      <c r="F247" s="241"/>
    </row>
    <row r="248" spans="1:6">
      <c r="A248" s="241"/>
      <c r="B248" s="241"/>
      <c r="C248" s="241"/>
      <c r="D248" s="241"/>
      <c r="E248" s="241"/>
      <c r="F248" s="241"/>
    </row>
    <row r="249" spans="1:6">
      <c r="A249" s="241"/>
      <c r="B249" s="241"/>
      <c r="C249" s="241"/>
      <c r="D249" s="241"/>
      <c r="E249" s="241"/>
      <c r="F249" s="241"/>
    </row>
    <row r="250" spans="1:6">
      <c r="A250" s="241"/>
      <c r="B250" s="241"/>
      <c r="C250" s="241"/>
      <c r="D250" s="241"/>
      <c r="E250" s="241"/>
      <c r="F250" s="241"/>
    </row>
    <row r="251" spans="1:6">
      <c r="A251" s="241"/>
      <c r="B251" s="241"/>
      <c r="C251" s="241"/>
      <c r="D251" s="241"/>
      <c r="E251" s="241"/>
      <c r="F251" s="241"/>
    </row>
    <row r="252" spans="1:6">
      <c r="A252" s="241"/>
      <c r="B252" s="241"/>
      <c r="C252" s="241"/>
      <c r="D252" s="241"/>
      <c r="E252" s="241"/>
      <c r="F252" s="241"/>
    </row>
    <row r="253" spans="1:6">
      <c r="A253" s="241"/>
      <c r="B253" s="241"/>
      <c r="C253" s="241"/>
      <c r="D253" s="241"/>
      <c r="E253" s="241"/>
      <c r="F253" s="241"/>
    </row>
    <row r="254" spans="1:6">
      <c r="A254" s="241"/>
      <c r="B254" s="241"/>
      <c r="C254" s="241"/>
      <c r="D254" s="241"/>
      <c r="E254" s="241"/>
      <c r="F254" s="241"/>
    </row>
    <row r="255" spans="1:6">
      <c r="A255" s="241"/>
      <c r="B255" s="241"/>
      <c r="C255" s="241"/>
      <c r="D255" s="241"/>
      <c r="E255" s="241"/>
      <c r="F255" s="241"/>
    </row>
    <row r="256" spans="1:6">
      <c r="A256" s="241"/>
      <c r="B256" s="241"/>
      <c r="C256" s="241"/>
      <c r="D256" s="241"/>
      <c r="E256" s="241"/>
      <c r="F256" s="241"/>
    </row>
    <row r="257" spans="1:6">
      <c r="A257" s="241"/>
      <c r="B257" s="241"/>
      <c r="C257" s="241"/>
      <c r="D257" s="241"/>
      <c r="E257" s="241"/>
      <c r="F257" s="241"/>
    </row>
    <row r="258" spans="1:6">
      <c r="A258" s="241"/>
      <c r="B258" s="241"/>
      <c r="C258" s="241"/>
      <c r="D258" s="241"/>
      <c r="E258" s="241"/>
      <c r="F258" s="241"/>
    </row>
    <row r="259" spans="1:6">
      <c r="A259" s="241"/>
      <c r="B259" s="241"/>
      <c r="C259" s="241"/>
      <c r="D259" s="241"/>
      <c r="E259" s="241"/>
      <c r="F259" s="241"/>
    </row>
    <row r="260" spans="1:6">
      <c r="A260" s="241"/>
      <c r="B260" s="241"/>
      <c r="C260" s="241"/>
      <c r="D260" s="241"/>
      <c r="E260" s="241"/>
      <c r="F260" s="241"/>
    </row>
    <row r="261" spans="1:6">
      <c r="A261" s="241"/>
      <c r="B261" s="241"/>
      <c r="C261" s="241"/>
      <c r="D261" s="241"/>
      <c r="E261" s="241"/>
      <c r="F261" s="241"/>
    </row>
    <row r="262" spans="1:6">
      <c r="A262" s="241"/>
      <c r="B262" s="241"/>
      <c r="C262" s="241"/>
      <c r="D262" s="241"/>
      <c r="E262" s="241"/>
      <c r="F262" s="241"/>
    </row>
    <row r="263" spans="1:6">
      <c r="A263" s="241"/>
      <c r="B263" s="241"/>
      <c r="C263" s="241"/>
      <c r="D263" s="241"/>
      <c r="E263" s="241"/>
      <c r="F263" s="241"/>
    </row>
    <row r="264" spans="1:6">
      <c r="A264" s="241"/>
      <c r="B264" s="241"/>
      <c r="C264" s="241"/>
      <c r="D264" s="241"/>
      <c r="E264" s="241"/>
      <c r="F264" s="241"/>
    </row>
    <row r="265" spans="1:6">
      <c r="A265" s="241"/>
      <c r="B265" s="241"/>
      <c r="C265" s="241"/>
      <c r="D265" s="241"/>
      <c r="E265" s="241"/>
      <c r="F265" s="241"/>
    </row>
    <row r="266" spans="1:6">
      <c r="A266" s="241"/>
      <c r="B266" s="241"/>
      <c r="C266" s="241"/>
      <c r="D266" s="241"/>
      <c r="E266" s="241"/>
      <c r="F266" s="241"/>
    </row>
    <row r="267" spans="1:6">
      <c r="A267" s="241"/>
      <c r="B267" s="241"/>
      <c r="C267" s="241"/>
      <c r="D267" s="241"/>
      <c r="E267" s="241"/>
      <c r="F267" s="241"/>
    </row>
    <row r="268" spans="1:6">
      <c r="A268" s="241"/>
      <c r="B268" s="241"/>
      <c r="C268" s="241"/>
      <c r="D268" s="241"/>
      <c r="E268" s="241"/>
      <c r="F268" s="241"/>
    </row>
    <row r="269" spans="1:6">
      <c r="A269" s="241"/>
      <c r="B269" s="241"/>
      <c r="C269" s="241"/>
      <c r="D269" s="241"/>
      <c r="E269" s="241"/>
      <c r="F269" s="241"/>
    </row>
    <row r="270" spans="1:6">
      <c r="A270" s="241"/>
      <c r="B270" s="241"/>
      <c r="C270" s="241"/>
      <c r="D270" s="241"/>
      <c r="E270" s="241"/>
      <c r="F270" s="241"/>
    </row>
    <row r="271" spans="1:6">
      <c r="A271" s="241"/>
      <c r="B271" s="241"/>
      <c r="C271" s="241"/>
      <c r="D271" s="241"/>
      <c r="E271" s="241"/>
      <c r="F271" s="241"/>
    </row>
    <row r="272" spans="1:6">
      <c r="A272" s="241"/>
      <c r="B272" s="241"/>
      <c r="C272" s="241"/>
      <c r="D272" s="241"/>
      <c r="E272" s="241"/>
      <c r="F272" s="241"/>
    </row>
    <row r="273" spans="1:6">
      <c r="A273" s="241"/>
      <c r="B273" s="241"/>
      <c r="C273" s="241"/>
      <c r="D273" s="241"/>
      <c r="E273" s="241"/>
      <c r="F273" s="241"/>
    </row>
    <row r="274" spans="1:6">
      <c r="A274" s="241"/>
      <c r="B274" s="241"/>
      <c r="C274" s="241"/>
      <c r="D274" s="241"/>
      <c r="E274" s="241"/>
      <c r="F274" s="241"/>
    </row>
    <row r="275" spans="1:6">
      <c r="A275" s="241"/>
      <c r="B275" s="241"/>
      <c r="C275" s="241"/>
      <c r="D275" s="241"/>
      <c r="E275" s="241"/>
      <c r="F275" s="241"/>
    </row>
    <row r="276" spans="1:6">
      <c r="A276" s="241"/>
      <c r="B276" s="241"/>
      <c r="C276" s="241"/>
      <c r="D276" s="241"/>
      <c r="E276" s="241"/>
      <c r="F276" s="241"/>
    </row>
    <row r="277" spans="1:6">
      <c r="A277" s="241"/>
      <c r="B277" s="241"/>
      <c r="C277" s="241"/>
      <c r="D277" s="241"/>
      <c r="E277" s="241"/>
      <c r="F277" s="241"/>
    </row>
    <row r="278" spans="1:6">
      <c r="A278" s="241"/>
      <c r="B278" s="241"/>
      <c r="C278" s="241"/>
      <c r="D278" s="241"/>
      <c r="E278" s="241"/>
      <c r="F278" s="241"/>
    </row>
    <row r="279" spans="1:6">
      <c r="A279" s="241"/>
      <c r="B279" s="241"/>
      <c r="C279" s="241"/>
      <c r="D279" s="241"/>
      <c r="E279" s="241"/>
      <c r="F279" s="241"/>
    </row>
    <row r="280" spans="1:6">
      <c r="A280" s="241"/>
      <c r="B280" s="241"/>
      <c r="C280" s="241"/>
      <c r="D280" s="241"/>
      <c r="E280" s="241"/>
      <c r="F280" s="241"/>
    </row>
    <row r="281" spans="1:6">
      <c r="A281" s="241"/>
      <c r="B281" s="241"/>
      <c r="C281" s="241"/>
      <c r="D281" s="241"/>
      <c r="E281" s="241"/>
      <c r="F281" s="241"/>
    </row>
    <row r="282" spans="1:6">
      <c r="A282" s="241"/>
      <c r="B282" s="241"/>
      <c r="C282" s="241"/>
      <c r="D282" s="241"/>
      <c r="E282" s="241"/>
      <c r="F282" s="241"/>
    </row>
    <row r="283" spans="1:6">
      <c r="A283" s="241"/>
      <c r="B283" s="241"/>
      <c r="C283" s="241"/>
      <c r="D283" s="241"/>
      <c r="E283" s="241"/>
      <c r="F283" s="241"/>
    </row>
    <row r="284" spans="1:6">
      <c r="A284" s="241"/>
      <c r="B284" s="241"/>
      <c r="C284" s="241"/>
      <c r="D284" s="241"/>
      <c r="E284" s="241"/>
      <c r="F284" s="241"/>
    </row>
  </sheetData>
  <sheetProtection password="F001" sheet="1" objects="1" scenarios="1" selectLockedCells="1"/>
  <mergeCells count="72">
    <mergeCell ref="B31:C31"/>
    <mergeCell ref="B34:C34"/>
    <mergeCell ref="D34:E34"/>
    <mergeCell ref="D27:E27"/>
    <mergeCell ref="D33:E33"/>
    <mergeCell ref="D32:E32"/>
    <mergeCell ref="D31:E31"/>
    <mergeCell ref="D30:E30"/>
    <mergeCell ref="B32:C32"/>
    <mergeCell ref="A25:B25"/>
    <mergeCell ref="D22:E22"/>
    <mergeCell ref="A24:B24"/>
    <mergeCell ref="A26:B26"/>
    <mergeCell ref="D23:E23"/>
    <mergeCell ref="D24:E24"/>
    <mergeCell ref="D25:E25"/>
    <mergeCell ref="D26:E26"/>
    <mergeCell ref="A22:B22"/>
    <mergeCell ref="A23:B23"/>
    <mergeCell ref="D20:E20"/>
    <mergeCell ref="D21:E21"/>
    <mergeCell ref="A10:B10"/>
    <mergeCell ref="A14:B14"/>
    <mergeCell ref="A19:B19"/>
    <mergeCell ref="A17:B18"/>
    <mergeCell ref="A20:B20"/>
    <mergeCell ref="A21:B21"/>
    <mergeCell ref="A12:B12"/>
    <mergeCell ref="D19:E19"/>
    <mergeCell ref="F60:F63"/>
    <mergeCell ref="E71:F72"/>
    <mergeCell ref="A61:B61"/>
    <mergeCell ref="D61:E61"/>
    <mergeCell ref="A67:B67"/>
    <mergeCell ref="E68:F68"/>
    <mergeCell ref="A69:F69"/>
    <mergeCell ref="A66:B66"/>
    <mergeCell ref="A60:B60"/>
    <mergeCell ref="A62:B62"/>
    <mergeCell ref="A105:B107"/>
    <mergeCell ref="B83:E83"/>
    <mergeCell ref="B85:E85"/>
    <mergeCell ref="A70:G70"/>
    <mergeCell ref="B89:E89"/>
    <mergeCell ref="B87:E87"/>
    <mergeCell ref="A74:E74"/>
    <mergeCell ref="A71:B71"/>
    <mergeCell ref="A72:B72"/>
    <mergeCell ref="A78:F78"/>
    <mergeCell ref="A1:F1"/>
    <mergeCell ref="C17:C18"/>
    <mergeCell ref="F17:F18"/>
    <mergeCell ref="D17:E18"/>
    <mergeCell ref="A11:B11"/>
    <mergeCell ref="A13:B13"/>
    <mergeCell ref="D10:F14"/>
    <mergeCell ref="B33:C33"/>
    <mergeCell ref="D36:E36"/>
    <mergeCell ref="D35:E35"/>
    <mergeCell ref="B35:C35"/>
    <mergeCell ref="B36:C36"/>
    <mergeCell ref="D37:E37"/>
    <mergeCell ref="A53:G55"/>
    <mergeCell ref="A68:B68"/>
    <mergeCell ref="A65:G65"/>
    <mergeCell ref="A3:G3"/>
    <mergeCell ref="A8:G8"/>
    <mergeCell ref="A29:G29"/>
    <mergeCell ref="D62:E62"/>
    <mergeCell ref="D60:E60"/>
    <mergeCell ref="A57:G57"/>
    <mergeCell ref="A40:G40"/>
  </mergeCells>
  <phoneticPr fontId="2" type="noConversion"/>
  <dataValidations count="16">
    <dataValidation type="list" allowBlank="1" showInputMessage="1" showErrorMessage="1" sqref="B11628:B12486 IO27:IV934 IP17:IV26 IO1:IV16">
      <formula1>#REF!</formula1>
    </dataValidation>
    <dataValidation type="list" allowBlank="1" showInputMessage="1" showErrorMessage="1" sqref="A94 A96 A98 A100 A102">
      <formula1>"0,1,2,3,4,5,6"</formula1>
    </dataValidation>
    <dataValidation type="list" allowBlank="1" showInputMessage="1" showErrorMessage="1" sqref="B83">
      <formula1>$A$141:$A$144</formula1>
    </dataValidation>
    <dataValidation type="list" allowBlank="1" showInputMessage="1" showErrorMessage="1" sqref="B85">
      <formula1>$A$145:$A$148</formula1>
    </dataValidation>
    <dataValidation type="list" allowBlank="1" showInputMessage="1" showErrorMessage="1" sqref="A74:E74">
      <formula1>$H$68:$H$79</formula1>
    </dataValidation>
    <dataValidation type="list" allowBlank="1" showInputMessage="1" showErrorMessage="1" sqref="D61:E61">
      <formula1>"a month, a week"</formula1>
    </dataValidation>
    <dataValidation type="list" allowBlank="1" showInputMessage="1" showErrorMessage="1" sqref="C60">
      <formula1>"Weekly figures, Monthly figures"</formula1>
    </dataValidation>
    <dataValidation type="list" allowBlank="1" showInputMessage="1" showErrorMessage="1" sqref="B87:E87">
      <formula1>$A$149:$A$152</formula1>
    </dataValidation>
    <dataValidation type="list" allowBlank="1" showInputMessage="1" showErrorMessage="1" sqref="B89:E89">
      <formula1>$A$153:$A$156</formula1>
    </dataValidation>
    <dataValidation type="list" allowBlank="1" showInputMessage="1" showErrorMessage="1" sqref="D19:E26">
      <formula1>"Yes, No, Veggie/vegan"</formula1>
    </dataValidation>
    <dataValidation type="list" allowBlank="1" showInputMessage="1" showErrorMessage="1" sqref="F19:F26">
      <formula1>"none, low, average, above average, lots"</formula1>
    </dataValidation>
    <dataValidation type="list" allowBlank="1" showInputMessage="1" showErrorMessage="1" sqref="B31:C31">
      <formula1>$A$112:$A$117</formula1>
    </dataValidation>
    <dataValidation type="list" allowBlank="1" showInputMessage="1" showErrorMessage="1" sqref="B32:C32">
      <formula1>$A$118:$A$121</formula1>
    </dataValidation>
    <dataValidation type="list" allowBlank="1" showInputMessage="1" showErrorMessage="1" sqref="B35:C35">
      <formula1>$A$131:$A$135</formula1>
    </dataValidation>
    <dataValidation type="list" allowBlank="1" showInputMessage="1" showErrorMessage="1" sqref="B36:C36">
      <formula1>$A$136:$A$139</formula1>
    </dataValidation>
    <dataValidation type="list" allowBlank="1" showInputMessage="1" showErrorMessage="1" sqref="B34:C34">
      <formula1>$A$126:$A$130</formula1>
    </dataValidation>
  </dataValidations>
  <pageMargins left="0.31496062992125984" right="0.19685039370078741" top="0.31496062992125984" bottom="0.19685039370078741" header="0.31496062992125984" footer="0.23622047244094491"/>
  <pageSetup paperSize="9" scale="99" fitToHeight="2" orientation="portrait" blackAndWhite="1" horizontalDpi="4294967294" verticalDpi="300"/>
  <headerFooter alignWithMargins="0"/>
  <rowBreaks count="1" manualBreakCount="1">
    <brk id="38"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'ql calcs'!$C$51:$C$53</xm:f>
          </x14:formula1>
          <xm:sqref>B33:C33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N68"/>
  <sheetViews>
    <sheetView showGridLines="0" zoomScale="150" zoomScaleNormal="150" zoomScaleSheetLayoutView="100" workbookViewId="0">
      <selection activeCell="A62" sqref="A62"/>
    </sheetView>
  </sheetViews>
  <sheetFormatPr defaultColWidth="9.1796875" defaultRowHeight="12.5"/>
  <cols>
    <col min="1" max="1" width="10.453125" style="239" customWidth="1"/>
    <col min="2" max="2" width="11.453125" style="239" customWidth="1"/>
    <col min="3" max="3" width="11.6328125" style="239" customWidth="1"/>
    <col min="4" max="4" width="14.36328125" style="239" customWidth="1"/>
    <col min="5" max="5" width="14" style="239" customWidth="1"/>
    <col min="6" max="6" width="13.81640625" style="239" customWidth="1"/>
    <col min="7" max="7" width="9" style="239" customWidth="1"/>
    <col min="8" max="9" width="12.1796875" style="239" customWidth="1"/>
    <col min="10" max="10" width="12.453125" style="239" customWidth="1"/>
    <col min="11" max="11" width="9.1796875" style="239"/>
    <col min="12" max="12" width="11.81640625" style="239" bestFit="1" customWidth="1"/>
    <col min="13" max="16384" width="9.1796875" style="239"/>
  </cols>
  <sheetData>
    <row r="1" spans="1:14" ht="20.25" customHeight="1">
      <c r="A1" s="628" t="s">
        <v>546</v>
      </c>
      <c r="B1" s="770"/>
      <c r="C1" s="770"/>
      <c r="D1" s="770"/>
      <c r="E1" s="770"/>
      <c r="F1" s="770"/>
      <c r="G1" s="770"/>
      <c r="H1" s="770"/>
      <c r="I1" s="770"/>
      <c r="J1" s="457"/>
    </row>
    <row r="3" spans="1:14" ht="18">
      <c r="A3" s="531" t="s">
        <v>825</v>
      </c>
      <c r="B3" s="531"/>
      <c r="C3" s="531"/>
      <c r="D3" s="531"/>
      <c r="E3" s="271"/>
      <c r="F3" s="779">
        <f>'Q domestic energy'!E6</f>
        <v>0</v>
      </c>
      <c r="G3" s="780"/>
      <c r="H3" s="780"/>
      <c r="I3" s="780"/>
      <c r="J3" s="532"/>
    </row>
    <row r="4" spans="1:14" ht="23.25" customHeight="1">
      <c r="A4" s="766" t="str">
        <f>'Q domestic energy'!E9</f>
        <v>Data protection has not been discussed</v>
      </c>
      <c r="B4" s="766"/>
      <c r="C4" s="766"/>
      <c r="D4" s="767"/>
      <c r="E4" s="763" t="s">
        <v>211</v>
      </c>
      <c r="F4" s="764"/>
      <c r="G4" s="765"/>
      <c r="H4" s="761">
        <f>'Q domestic energy'!E7</f>
        <v>0</v>
      </c>
      <c r="I4" s="761"/>
    </row>
    <row r="5" spans="1:14" ht="18" customHeight="1">
      <c r="A5" s="763" t="s">
        <v>210</v>
      </c>
      <c r="B5" s="765"/>
      <c r="C5" s="765"/>
      <c r="D5" s="765"/>
      <c r="E5" s="765"/>
      <c r="F5" s="765"/>
      <c r="G5" s="765"/>
      <c r="H5" s="759">
        <f>'qde calcs'!B44</f>
        <v>0</v>
      </c>
      <c r="I5" s="760"/>
    </row>
    <row r="6" spans="1:14" ht="18" customHeight="1">
      <c r="A6" s="536"/>
      <c r="B6" s="536"/>
      <c r="C6" s="536"/>
      <c r="D6" s="763" t="s">
        <v>547</v>
      </c>
      <c r="E6" s="765"/>
      <c r="F6" s="765"/>
      <c r="G6" s="765"/>
      <c r="H6" s="601">
        <f>'Q domestic energy'!F16</f>
        <v>0</v>
      </c>
      <c r="I6" s="602"/>
    </row>
    <row r="7" spans="1:14" ht="18.75" customHeight="1">
      <c r="A7" s="777"/>
      <c r="B7" s="777"/>
      <c r="C7" s="777"/>
      <c r="D7" s="778"/>
      <c r="E7" s="273"/>
      <c r="F7" s="273"/>
      <c r="G7" s="535" t="s">
        <v>329</v>
      </c>
      <c r="H7" s="781">
        <f>'Q domestic energy'!E8</f>
        <v>0</v>
      </c>
      <c r="I7" s="782"/>
    </row>
    <row r="8" spans="1:14" ht="7.5" customHeight="1">
      <c r="A8" s="533"/>
      <c r="B8" s="533"/>
      <c r="C8" s="533"/>
      <c r="D8" s="534"/>
      <c r="E8" s="273"/>
      <c r="F8" s="273"/>
      <c r="G8" s="538"/>
      <c r="H8" s="539"/>
      <c r="I8" s="537"/>
    </row>
    <row r="9" spans="1:14" ht="34.5" customHeight="1">
      <c r="A9" s="768" t="s">
        <v>199</v>
      </c>
      <c r="B9" s="769"/>
      <c r="C9" s="769"/>
      <c r="D9" s="769"/>
      <c r="E9" s="769"/>
      <c r="F9" s="769"/>
      <c r="G9" s="769"/>
      <c r="H9" s="769"/>
      <c r="I9" s="769"/>
    </row>
    <row r="10" spans="1:14" ht="9" customHeight="1" thickBot="1">
      <c r="A10" s="540"/>
    </row>
    <row r="11" spans="1:14" ht="30" customHeight="1" thickBot="1">
      <c r="A11" s="541" t="s">
        <v>826</v>
      </c>
      <c r="B11" s="457"/>
      <c r="E11" s="660" t="s">
        <v>200</v>
      </c>
      <c r="F11" s="762"/>
      <c r="G11" s="542"/>
      <c r="H11" s="713" t="s">
        <v>241</v>
      </c>
      <c r="I11" s="741"/>
      <c r="K11" s="543"/>
      <c r="L11" s="543"/>
      <c r="M11" s="543"/>
      <c r="N11" s="543"/>
    </row>
    <row r="12" spans="1:14" ht="31.5" customHeight="1" thickBot="1">
      <c r="A12" s="774" t="s">
        <v>32</v>
      </c>
      <c r="B12" s="775"/>
      <c r="C12" s="775"/>
      <c r="D12" s="776"/>
      <c r="E12" s="544" t="s">
        <v>827</v>
      </c>
      <c r="F12" s="545" t="s">
        <v>828</v>
      </c>
      <c r="G12" s="542"/>
      <c r="H12" s="546" t="s">
        <v>832</v>
      </c>
      <c r="I12" s="546" t="s">
        <v>88</v>
      </c>
      <c r="K12" s="543"/>
      <c r="L12" s="547"/>
      <c r="M12" s="547"/>
      <c r="N12" s="543"/>
    </row>
    <row r="13" spans="1:14" ht="15.5">
      <c r="A13" s="797" t="s">
        <v>628</v>
      </c>
      <c r="B13" s="798"/>
      <c r="C13" s="798"/>
      <c r="D13" s="799"/>
      <c r="E13" s="574">
        <f>'Q domestic energy'!F63</f>
        <v>0</v>
      </c>
      <c r="F13" s="575" t="e">
        <f>'qde calcs'!E50</f>
        <v>#DIV/0!</v>
      </c>
      <c r="G13" s="603" t="e">
        <f>IF(F13=0,'qde calcs'!C86*'qde calcs'!D8/'qde calcs'!D8/1000/'ql calcs'!#REF!,0)</f>
        <v>#DIV/0!</v>
      </c>
      <c r="H13" s="589">
        <v>1</v>
      </c>
      <c r="I13" s="590" t="e">
        <f>F13/H13*100</f>
        <v>#DIV/0!</v>
      </c>
      <c r="K13" s="543"/>
      <c r="L13" s="547"/>
      <c r="M13" s="547"/>
      <c r="N13" s="543"/>
    </row>
    <row r="14" spans="1:14" ht="15.5">
      <c r="A14" s="800" t="s">
        <v>829</v>
      </c>
      <c r="B14" s="801"/>
      <c r="C14" s="801"/>
      <c r="D14" s="802"/>
      <c r="E14" s="576">
        <f>'Q domestic energy'!F64</f>
        <v>0</v>
      </c>
      <c r="F14" s="577" t="e">
        <f>'qde calcs'!E51</f>
        <v>#DIV/0!</v>
      </c>
      <c r="G14" s="604"/>
      <c r="H14" s="591">
        <v>1.5</v>
      </c>
      <c r="I14" s="592" t="e">
        <f>F14/H14*100</f>
        <v>#DIV/0!</v>
      </c>
      <c r="K14" s="543"/>
      <c r="L14" s="547"/>
      <c r="M14" s="547"/>
      <c r="N14" s="543"/>
    </row>
    <row r="15" spans="1:14" ht="15.5">
      <c r="A15" s="668" t="s">
        <v>524</v>
      </c>
      <c r="B15" s="757"/>
      <c r="C15" s="757"/>
      <c r="D15" s="669"/>
      <c r="E15" s="578">
        <f>'Q travel'!B177-'Q travel'!B176</f>
        <v>0</v>
      </c>
      <c r="F15" s="579" t="e">
        <f>'qde calcs'!E52</f>
        <v>#DIV/0!</v>
      </c>
      <c r="G15" s="604"/>
      <c r="H15" s="771">
        <v>1.2</v>
      </c>
      <c r="I15" s="803" t="e">
        <f>SUM(F15:F16)/SUM(H15:H16)*100</f>
        <v>#DIV/0!</v>
      </c>
      <c r="K15" s="543"/>
      <c r="L15" s="547"/>
      <c r="M15" s="547"/>
      <c r="N15" s="543"/>
    </row>
    <row r="16" spans="1:14" ht="15.5">
      <c r="A16" s="758" t="s">
        <v>526</v>
      </c>
      <c r="B16" s="757"/>
      <c r="C16" s="757"/>
      <c r="D16" s="669"/>
      <c r="E16" s="578">
        <f>'Q travel'!B183-'Q travel'!B182</f>
        <v>0</v>
      </c>
      <c r="F16" s="577" t="e">
        <f>'qde calcs'!E53</f>
        <v>#DIV/0!</v>
      </c>
      <c r="G16" s="605"/>
      <c r="H16" s="773"/>
      <c r="I16" s="804"/>
      <c r="J16" s="543"/>
      <c r="K16" s="543"/>
      <c r="L16" s="547"/>
      <c r="M16" s="547"/>
      <c r="N16" s="543"/>
    </row>
    <row r="17" spans="1:14" ht="15.5">
      <c r="A17" s="549" t="s">
        <v>636</v>
      </c>
      <c r="B17" s="550"/>
      <c r="C17" s="550"/>
      <c r="D17" s="503"/>
      <c r="E17" s="576">
        <f>'Q travel'!B185</f>
        <v>0</v>
      </c>
      <c r="F17" s="577" t="e">
        <f>'qde calcs'!E54</f>
        <v>#DIV/0!</v>
      </c>
      <c r="G17" s="606"/>
      <c r="H17" s="593">
        <v>0.2</v>
      </c>
      <c r="I17" s="590" t="e">
        <f>F17/H17*100</f>
        <v>#DIV/0!</v>
      </c>
      <c r="J17" s="548"/>
      <c r="K17" s="543"/>
      <c r="L17" s="547"/>
      <c r="M17" s="547"/>
      <c r="N17" s="543"/>
    </row>
    <row r="18" spans="1:14" ht="15.5">
      <c r="A18" s="758" t="s">
        <v>525</v>
      </c>
      <c r="B18" s="757"/>
      <c r="C18" s="757"/>
      <c r="D18" s="669"/>
      <c r="E18" s="578">
        <f>'Q travel'!B176</f>
        <v>0</v>
      </c>
      <c r="F18" s="577" t="e">
        <f>'qde calcs'!E55</f>
        <v>#DIV/0!</v>
      </c>
      <c r="G18" s="604"/>
      <c r="H18" s="771">
        <v>0.1</v>
      </c>
      <c r="I18" s="813" t="e">
        <f>SUM(F18:F19)/SUM(H18:H19)*100</f>
        <v>#DIV/0!</v>
      </c>
      <c r="K18" s="543"/>
      <c r="L18" s="547"/>
      <c r="M18" s="547"/>
      <c r="N18" s="543"/>
    </row>
    <row r="19" spans="1:14" ht="15.5">
      <c r="A19" s="758" t="s">
        <v>527</v>
      </c>
      <c r="B19" s="757"/>
      <c r="C19" s="757"/>
      <c r="D19" s="669"/>
      <c r="E19" s="578">
        <f>'Q travel'!B182</f>
        <v>0</v>
      </c>
      <c r="F19" s="577" t="e">
        <f>'qde calcs'!E56</f>
        <v>#DIV/0!</v>
      </c>
      <c r="G19" s="605"/>
      <c r="H19" s="772"/>
      <c r="I19" s="814"/>
      <c r="K19" s="543"/>
      <c r="L19" s="547"/>
      <c r="M19" s="547"/>
      <c r="N19" s="543"/>
    </row>
    <row r="20" spans="1:14">
      <c r="A20" s="810" t="s">
        <v>145</v>
      </c>
      <c r="B20" s="811"/>
      <c r="C20" s="811"/>
      <c r="D20" s="812"/>
      <c r="E20" s="580">
        <f>'Q travel'!B189</f>
        <v>0</v>
      </c>
      <c r="F20" s="579" t="e">
        <f>'qde calcs'!E57</f>
        <v>#DIV/0!</v>
      </c>
      <c r="G20" s="401"/>
      <c r="H20" s="591">
        <v>1.2</v>
      </c>
      <c r="I20" s="590" t="e">
        <f>F20/H20*100</f>
        <v>#DIV/0!</v>
      </c>
    </row>
    <row r="21" spans="1:14">
      <c r="A21" s="551" t="s">
        <v>595</v>
      </c>
      <c r="B21" s="552"/>
      <c r="C21" s="552"/>
      <c r="D21" s="553"/>
      <c r="E21" s="581">
        <f>'Q lifestyle'!E105</f>
        <v>0</v>
      </c>
      <c r="F21" s="582" t="e">
        <f>'qde calcs'!E58</f>
        <v>#DIV/0!</v>
      </c>
      <c r="G21" s="401"/>
      <c r="H21" s="594">
        <v>2.1</v>
      </c>
      <c r="I21" s="595" t="e">
        <f>F21/H21*100</f>
        <v>#DIV/0!</v>
      </c>
    </row>
    <row r="22" spans="1:14">
      <c r="A22" s="549" t="s">
        <v>596</v>
      </c>
      <c r="B22" s="550"/>
      <c r="C22" s="550"/>
      <c r="D22" s="503"/>
      <c r="E22" s="576">
        <f>'Q lifestyle'!E106</f>
        <v>0</v>
      </c>
      <c r="F22" s="577" t="e">
        <f>'qde calcs'!E59</f>
        <v>#DIV/0!</v>
      </c>
      <c r="G22" s="607"/>
      <c r="H22" s="596">
        <v>0.2</v>
      </c>
      <c r="I22" s="590" t="e">
        <f>F22/H22*100</f>
        <v>#DIV/0!</v>
      </c>
    </row>
    <row r="23" spans="1:14" ht="13" thickBot="1">
      <c r="A23" s="549" t="s">
        <v>830</v>
      </c>
      <c r="B23" s="550"/>
      <c r="C23" s="550"/>
      <c r="D23" s="503"/>
      <c r="E23" s="576">
        <f ca="1">'Q lifestyle'!E107</f>
        <v>0</v>
      </c>
      <c r="F23" s="577" t="e">
        <f ca="1">'qde calcs'!E60</f>
        <v>#DIV/0!</v>
      </c>
      <c r="G23" s="607"/>
      <c r="H23" s="596">
        <v>2</v>
      </c>
      <c r="I23" s="592" t="e">
        <f ca="1">F23/H23*100</f>
        <v>#DIV/0!</v>
      </c>
    </row>
    <row r="24" spans="1:14" s="456" customFormat="1" ht="14.5" thickBot="1">
      <c r="A24" s="754" t="s">
        <v>831</v>
      </c>
      <c r="B24" s="755"/>
      <c r="C24" s="755"/>
      <c r="D24" s="756"/>
      <c r="E24" s="583">
        <f ca="1">SUM(E13:E23)</f>
        <v>0</v>
      </c>
      <c r="F24" s="584" t="e">
        <f>SUM(F13:F23)</f>
        <v>#DIV/0!</v>
      </c>
      <c r="G24" s="608"/>
      <c r="H24" s="597">
        <f>SUM(H13:H23)</f>
        <v>9.5</v>
      </c>
      <c r="I24" s="598" t="e">
        <f>F24/H24*100</f>
        <v>#DIV/0!</v>
      </c>
    </row>
    <row r="25" spans="1:14" ht="13" thickBot="1">
      <c r="A25" s="554" t="s">
        <v>597</v>
      </c>
      <c r="B25" s="552"/>
      <c r="C25" s="552"/>
      <c r="D25" s="553"/>
      <c r="E25" s="585">
        <f>F25*H5</f>
        <v>0</v>
      </c>
      <c r="F25" s="582">
        <v>3</v>
      </c>
      <c r="G25" s="606"/>
      <c r="H25" s="594">
        <v>3</v>
      </c>
      <c r="I25" s="599">
        <v>100</v>
      </c>
    </row>
    <row r="26" spans="1:14" ht="24.75" customHeight="1" thickBot="1">
      <c r="A26" s="807" t="s">
        <v>201</v>
      </c>
      <c r="B26" s="808"/>
      <c r="C26" s="808"/>
      <c r="D26" s="809"/>
      <c r="E26" s="586">
        <f ca="1">E24+E25</f>
        <v>0</v>
      </c>
      <c r="F26" s="587" t="e">
        <f>F24+F25</f>
        <v>#DIV/0!</v>
      </c>
      <c r="G26" s="609"/>
      <c r="H26" s="597">
        <f>H24+H25</f>
        <v>12.5</v>
      </c>
      <c r="I26" s="600" t="e">
        <f>F26/H26*100</f>
        <v>#DIV/0!</v>
      </c>
    </row>
    <row r="27" spans="1:14" ht="24.75" customHeight="1">
      <c r="A27" s="610"/>
      <c r="B27" s="611"/>
      <c r="C27" s="611"/>
      <c r="D27" s="611"/>
      <c r="E27" s="612"/>
      <c r="F27" s="612"/>
      <c r="G27" s="613"/>
      <c r="H27" s="614"/>
    </row>
    <row r="28" spans="1:14" ht="17.25" customHeight="1">
      <c r="A28" s="815" t="s">
        <v>297</v>
      </c>
      <c r="B28" s="815"/>
      <c r="C28" s="815"/>
      <c r="D28" s="815"/>
      <c r="E28" s="616" t="s">
        <v>298</v>
      </c>
      <c r="F28" s="555"/>
      <c r="G28" s="615"/>
      <c r="H28" s="277"/>
      <c r="I28" s="277"/>
    </row>
    <row r="29" spans="1:14" ht="17.25" customHeight="1">
      <c r="A29" s="552"/>
      <c r="B29" s="277"/>
      <c r="C29" s="277"/>
      <c r="D29" s="552"/>
      <c r="E29" s="617" t="s">
        <v>299</v>
      </c>
      <c r="F29" s="75"/>
      <c r="G29" s="75"/>
      <c r="H29" s="75"/>
      <c r="I29" s="75"/>
    </row>
    <row r="30" spans="1:14" ht="15.75" customHeight="1">
      <c r="A30" s="694"/>
      <c r="B30" s="695"/>
      <c r="C30" s="695"/>
      <c r="D30" s="694"/>
      <c r="E30" s="588">
        <f ca="1">IF(('Q domestic energy'!F48="Yes"),'qde calcs'!C86*'qde calcs'!D8/1000+'your footprint'!E26,'your footprint'!E26)</f>
        <v>0</v>
      </c>
      <c r="F30" s="588" t="e">
        <f>IF(('Q domestic energy'!F48="Yes"),'qde calcs'!E67+'your footprint'!F26,'your footprint'!F26)</f>
        <v>#DIV/0!</v>
      </c>
      <c r="G30" s="277"/>
      <c r="H30" s="277"/>
      <c r="I30" s="277"/>
    </row>
    <row r="31" spans="1:14" ht="5.25" customHeight="1">
      <c r="A31" s="805"/>
      <c r="B31" s="806"/>
      <c r="C31" s="806"/>
      <c r="D31" s="806"/>
      <c r="E31" s="555"/>
      <c r="F31" s="555"/>
      <c r="G31" s="277"/>
      <c r="H31" s="277"/>
      <c r="I31" s="277"/>
    </row>
    <row r="32" spans="1:14" ht="14">
      <c r="A32" s="381"/>
      <c r="G32" s="251"/>
      <c r="H32" s="251"/>
    </row>
    <row r="33" spans="1:9">
      <c r="A33" s="556"/>
    </row>
    <row r="35" spans="1:9">
      <c r="G35" s="700"/>
      <c r="H35" s="765"/>
      <c r="I35" s="765"/>
    </row>
    <row r="41" spans="1:9" ht="13">
      <c r="G41" s="793"/>
      <c r="H41" s="765"/>
      <c r="I41" s="765"/>
    </row>
    <row r="42" spans="1:9">
      <c r="G42" s="794"/>
      <c r="H42" s="794"/>
      <c r="I42" s="794"/>
    </row>
    <row r="43" spans="1:9">
      <c r="G43" s="794"/>
      <c r="H43" s="794"/>
      <c r="I43" s="794"/>
    </row>
    <row r="44" spans="1:9" ht="18">
      <c r="G44" s="795"/>
      <c r="H44" s="795"/>
      <c r="I44" s="795"/>
    </row>
    <row r="45" spans="1:9">
      <c r="G45" s="796"/>
      <c r="H45" s="765"/>
      <c r="I45" s="765"/>
    </row>
    <row r="46" spans="1:9">
      <c r="G46" s="770"/>
      <c r="H46" s="770"/>
      <c r="I46" s="770"/>
    </row>
    <row r="51" spans="1:9" ht="24.75" customHeight="1">
      <c r="A51" s="468"/>
    </row>
    <row r="52" spans="1:9" ht="18" customHeight="1">
      <c r="A52" s="789" t="s">
        <v>225</v>
      </c>
      <c r="B52" s="790"/>
      <c r="C52" s="790"/>
      <c r="D52" s="790"/>
      <c r="E52" s="790"/>
      <c r="F52" s="790"/>
      <c r="H52" s="557" t="s">
        <v>202</v>
      </c>
    </row>
    <row r="53" spans="1:9" ht="13">
      <c r="A53" s="558"/>
      <c r="B53" s="558"/>
      <c r="C53" s="454"/>
      <c r="D53" s="454"/>
      <c r="E53" s="454"/>
      <c r="F53" s="454"/>
      <c r="H53" s="331" t="s">
        <v>340</v>
      </c>
    </row>
    <row r="54" spans="1:9" ht="8.25" customHeight="1"/>
    <row r="55" spans="1:9">
      <c r="A55" s="559" t="s">
        <v>2</v>
      </c>
      <c r="B55" s="560"/>
      <c r="C55" s="560"/>
      <c r="D55" s="560"/>
      <c r="E55" s="560"/>
      <c r="F55" s="560"/>
      <c r="G55" s="560"/>
      <c r="H55" s="560"/>
      <c r="I55" s="561"/>
    </row>
    <row r="56" spans="1:9" ht="4.5" customHeight="1">
      <c r="A56" s="562"/>
      <c r="B56" s="563"/>
      <c r="C56" s="563"/>
      <c r="D56" s="563"/>
      <c r="E56" s="563"/>
      <c r="F56" s="563"/>
      <c r="G56" s="563"/>
      <c r="H56" s="563"/>
      <c r="I56" s="564"/>
    </row>
    <row r="57" spans="1:9" s="556" customFormat="1" ht="11.5">
      <c r="A57" s="565" t="s">
        <v>709</v>
      </c>
      <c r="B57" s="566">
        <f>'qde calcs'!D7</f>
        <v>0.18645999999999999</v>
      </c>
      <c r="C57" s="566" t="s">
        <v>203</v>
      </c>
      <c r="D57" s="566"/>
      <c r="E57" s="566" t="s">
        <v>239</v>
      </c>
      <c r="F57" s="567">
        <f>'qde calcs'!D18</f>
        <v>2.7799999999999998E-2</v>
      </c>
      <c r="G57" s="566" t="s">
        <v>204</v>
      </c>
      <c r="H57" s="568"/>
      <c r="I57" s="569"/>
    </row>
    <row r="58" spans="1:9" s="556" customFormat="1" ht="11.5">
      <c r="A58" s="565" t="s">
        <v>710</v>
      </c>
      <c r="B58" s="566">
        <f>'qde calcs'!D8</f>
        <v>0.38442999999999999</v>
      </c>
      <c r="C58" s="566" t="s">
        <v>203</v>
      </c>
      <c r="D58" s="566"/>
      <c r="E58" s="566" t="s">
        <v>240</v>
      </c>
      <c r="F58" s="567">
        <f>'qde calcs'!D15</f>
        <v>4.6780000000000002E-2</v>
      </c>
      <c r="G58" s="566" t="s">
        <v>204</v>
      </c>
      <c r="H58" s="568"/>
      <c r="I58" s="569"/>
    </row>
    <row r="59" spans="1:9" s="556" customFormat="1" ht="11.5">
      <c r="A59" s="565" t="s">
        <v>242</v>
      </c>
      <c r="B59" s="570">
        <f>'qde calcs'!D9</f>
        <v>0</v>
      </c>
      <c r="C59" s="566" t="s">
        <v>203</v>
      </c>
      <c r="D59" s="566"/>
      <c r="E59" s="566" t="s">
        <v>238</v>
      </c>
      <c r="F59" s="567">
        <f>'qde calcs'!D17</f>
        <v>0.10259</v>
      </c>
      <c r="G59" s="566" t="s">
        <v>204</v>
      </c>
      <c r="H59" s="568"/>
      <c r="I59" s="569"/>
    </row>
    <row r="60" spans="1:9" s="556" customFormat="1" ht="11.5">
      <c r="A60" s="565" t="s">
        <v>711</v>
      </c>
      <c r="B60" s="566">
        <f>'qde calcs'!D10</f>
        <v>2.53233</v>
      </c>
      <c r="C60" s="566" t="s">
        <v>205</v>
      </c>
      <c r="D60" s="566"/>
      <c r="E60" s="566" t="s">
        <v>537</v>
      </c>
      <c r="F60" s="566">
        <f>'qde calcs'!D14</f>
        <v>1.9</v>
      </c>
      <c r="G60" s="566"/>
      <c r="H60" s="568"/>
      <c r="I60" s="569"/>
    </row>
    <row r="61" spans="1:9" s="556" customFormat="1" ht="11.5">
      <c r="A61" s="565" t="s">
        <v>717</v>
      </c>
      <c r="B61" s="566">
        <f>'qde calcs'!D11</f>
        <v>2.8619599999999998</v>
      </c>
      <c r="C61" s="566" t="s">
        <v>206</v>
      </c>
      <c r="D61" s="566"/>
      <c r="E61" s="566" t="s">
        <v>207</v>
      </c>
      <c r="F61" s="566"/>
      <c r="G61" s="566"/>
      <c r="H61" s="568"/>
      <c r="I61" s="569"/>
    </row>
    <row r="62" spans="1:9" s="556" customFormat="1" ht="11.5">
      <c r="A62" s="565" t="s">
        <v>716</v>
      </c>
      <c r="B62" s="566">
        <f>'qde calcs'!D13</f>
        <v>5.1905529999999998E-2</v>
      </c>
      <c r="C62" s="566" t="s">
        <v>206</v>
      </c>
      <c r="D62" s="566"/>
      <c r="E62" s="566" t="s">
        <v>843</v>
      </c>
      <c r="F62" s="571" t="s">
        <v>844</v>
      </c>
      <c r="G62" s="566">
        <v>2</v>
      </c>
      <c r="H62" s="568"/>
      <c r="I62" s="569"/>
    </row>
    <row r="63" spans="1:9" s="556" customFormat="1" ht="11.5">
      <c r="A63" s="565" t="s">
        <v>452</v>
      </c>
      <c r="B63" s="566">
        <f>'qde calcs'!D12</f>
        <v>1.50807</v>
      </c>
      <c r="C63" s="566" t="s">
        <v>205</v>
      </c>
      <c r="D63" s="566"/>
      <c r="E63" s="571"/>
      <c r="F63" s="566"/>
      <c r="G63" s="566"/>
      <c r="H63" s="568"/>
      <c r="I63" s="569"/>
    </row>
    <row r="64" spans="1:9" ht="5.25" customHeight="1">
      <c r="A64" s="572"/>
      <c r="B64" s="412"/>
      <c r="C64" s="412"/>
      <c r="D64" s="412"/>
      <c r="E64" s="412"/>
      <c r="F64" s="412"/>
      <c r="G64" s="412"/>
      <c r="H64" s="412"/>
      <c r="I64" s="564"/>
    </row>
    <row r="65" spans="1:10" ht="32.25" customHeight="1">
      <c r="A65" s="787" t="s">
        <v>548</v>
      </c>
      <c r="B65" s="788"/>
      <c r="C65" s="788"/>
      <c r="D65" s="788"/>
      <c r="E65" s="788"/>
      <c r="F65" s="788"/>
      <c r="G65" s="788"/>
      <c r="H65" s="788"/>
      <c r="I65" s="788"/>
      <c r="J65" s="572"/>
    </row>
    <row r="66" spans="1:10" ht="30.75" customHeight="1">
      <c r="A66" s="783" t="s">
        <v>0</v>
      </c>
      <c r="B66" s="784"/>
      <c r="C66" s="784"/>
      <c r="D66" s="784"/>
      <c r="E66" s="784"/>
      <c r="F66" s="784"/>
      <c r="G66" s="784"/>
      <c r="H66" s="784"/>
      <c r="I66" s="785"/>
      <c r="J66" s="273"/>
    </row>
    <row r="67" spans="1:10" ht="21.75" customHeight="1">
      <c r="A67" s="791" t="s">
        <v>1</v>
      </c>
      <c r="B67" s="792"/>
      <c r="C67" s="792"/>
      <c r="D67" s="792"/>
      <c r="E67" s="792"/>
      <c r="F67" s="792"/>
      <c r="G67" s="792"/>
      <c r="H67" s="792"/>
      <c r="I67" s="573"/>
    </row>
    <row r="68" spans="1:10">
      <c r="A68" s="786"/>
      <c r="B68" s="632"/>
      <c r="C68" s="632"/>
      <c r="D68" s="632"/>
      <c r="E68" s="632"/>
      <c r="F68" s="632"/>
      <c r="G68" s="632"/>
      <c r="H68" s="632"/>
      <c r="I68" s="632"/>
      <c r="J68" s="273"/>
    </row>
  </sheetData>
  <sheetProtection selectLockedCells="1"/>
  <mergeCells count="42">
    <mergeCell ref="G46:I46"/>
    <mergeCell ref="A13:D13"/>
    <mergeCell ref="A14:D14"/>
    <mergeCell ref="I15:I16"/>
    <mergeCell ref="A31:D31"/>
    <mergeCell ref="A30:D30"/>
    <mergeCell ref="A26:D26"/>
    <mergeCell ref="A20:D20"/>
    <mergeCell ref="I18:I19"/>
    <mergeCell ref="A28:D28"/>
    <mergeCell ref="A66:I66"/>
    <mergeCell ref="A68:I68"/>
    <mergeCell ref="A65:I65"/>
    <mergeCell ref="A52:F52"/>
    <mergeCell ref="A67:H67"/>
    <mergeCell ref="G41:I41"/>
    <mergeCell ref="G42:I42"/>
    <mergeCell ref="G44:I44"/>
    <mergeCell ref="G43:I43"/>
    <mergeCell ref="G45:I45"/>
    <mergeCell ref="A1:I1"/>
    <mergeCell ref="G35:I35"/>
    <mergeCell ref="H11:I11"/>
    <mergeCell ref="H18:H19"/>
    <mergeCell ref="H15:H16"/>
    <mergeCell ref="A12:D12"/>
    <mergeCell ref="A7:D7"/>
    <mergeCell ref="A5:G5"/>
    <mergeCell ref="F3:I3"/>
    <mergeCell ref="H7:I7"/>
    <mergeCell ref="H4:I4"/>
    <mergeCell ref="E11:F11"/>
    <mergeCell ref="E4:G4"/>
    <mergeCell ref="D6:G6"/>
    <mergeCell ref="A4:D4"/>
    <mergeCell ref="A9:I9"/>
    <mergeCell ref="A24:D24"/>
    <mergeCell ref="A15:D15"/>
    <mergeCell ref="A18:D18"/>
    <mergeCell ref="A16:D16"/>
    <mergeCell ref="A19:D19"/>
    <mergeCell ref="H5:I5"/>
  </mergeCells>
  <phoneticPr fontId="2" type="noConversion"/>
  <conditionalFormatting sqref="I13:I15 I17:I26">
    <cfRule type="cellIs" dxfId="7" priority="1" stopIfTrue="1" operator="greaterThan">
      <formula>99</formula>
    </cfRule>
    <cfRule type="cellIs" dxfId="6" priority="2" stopIfTrue="1" operator="between">
      <formula>20</formula>
      <formula>99</formula>
    </cfRule>
    <cfRule type="cellIs" dxfId="5" priority="3" stopIfTrue="1" operator="lessThan">
      <formula>20</formula>
    </cfRule>
  </conditionalFormatting>
  <pageMargins left="0.61" right="0.27" top="0.31496062992125984" bottom="0.27559055118110237" header="0.31496062992125984" footer="0.27559055118110237"/>
  <pageSetup paperSize="9" scale="79" orientation="portrait" horizontalDpi="4294967293"/>
  <headerFooter alignWithMargins="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56"/>
  <sheetViews>
    <sheetView showGridLines="0" zoomScale="85" workbookViewId="0">
      <selection activeCell="F7" sqref="F7"/>
    </sheetView>
  </sheetViews>
  <sheetFormatPr defaultColWidth="9.1796875" defaultRowHeight="12.5"/>
  <cols>
    <col min="1" max="1" width="33.81640625" style="1" customWidth="1"/>
    <col min="2" max="2" width="24.81640625" style="1" customWidth="1"/>
    <col min="3" max="3" width="18.453125" style="1" bestFit="1" customWidth="1"/>
    <col min="4" max="4" width="14.1796875" style="1" customWidth="1"/>
    <col min="5" max="5" width="12.1796875" style="24" bestFit="1" customWidth="1"/>
    <col min="6" max="6" width="15.6328125" style="1" customWidth="1"/>
    <col min="7" max="7" width="9.1796875" style="1"/>
    <col min="8" max="8" width="11" style="1" customWidth="1"/>
    <col min="9" max="16384" width="9.1796875" style="1"/>
  </cols>
  <sheetData>
    <row r="1" spans="1:9" ht="17.5">
      <c r="A1" s="12" t="s">
        <v>654</v>
      </c>
    </row>
    <row r="3" spans="1:9" ht="15">
      <c r="A3" s="14" t="s">
        <v>578</v>
      </c>
    </row>
    <row r="5" spans="1:9" ht="54.75" customHeight="1">
      <c r="A5" s="17" t="s">
        <v>43</v>
      </c>
      <c r="B5" s="16" t="s">
        <v>44</v>
      </c>
      <c r="C5" s="16" t="s">
        <v>102</v>
      </c>
      <c r="D5" s="20" t="s">
        <v>35</v>
      </c>
      <c r="E5" s="16" t="s">
        <v>38</v>
      </c>
      <c r="F5" s="16" t="s">
        <v>101</v>
      </c>
    </row>
    <row r="6" spans="1:9">
      <c r="A6" s="9" t="s">
        <v>577</v>
      </c>
      <c r="B6" s="10"/>
      <c r="C6" s="10"/>
      <c r="D6" s="10"/>
      <c r="E6" s="22"/>
      <c r="F6" s="10"/>
    </row>
    <row r="7" spans="1:9">
      <c r="A7" s="4" t="s">
        <v>663</v>
      </c>
      <c r="B7" s="4" t="s">
        <v>39</v>
      </c>
      <c r="C7" s="28">
        <f>'your footprint'!$E$13/10</f>
        <v>0</v>
      </c>
      <c r="D7" s="21" t="s">
        <v>45</v>
      </c>
      <c r="E7" s="21" t="s">
        <v>237</v>
      </c>
      <c r="F7" s="29">
        <f>IF(OR(D7="Yes",E7&lt;&gt;"Yes"),0,'your footprint'!$E$13*0.1)</f>
        <v>0</v>
      </c>
      <c r="I7" s="49"/>
    </row>
    <row r="8" spans="1:9">
      <c r="A8" s="4" t="s">
        <v>664</v>
      </c>
      <c r="B8" s="4" t="s">
        <v>39</v>
      </c>
      <c r="C8" s="28">
        <f>'your footprint'!$E$13/10</f>
        <v>0</v>
      </c>
      <c r="D8" s="21" t="s">
        <v>45</v>
      </c>
      <c r="E8" s="21" t="s">
        <v>237</v>
      </c>
      <c r="F8" s="29">
        <f>IF(OR(D8="Yes",E8&lt;&gt;"Yes"),0,'your footprint'!$E$13*0.1)</f>
        <v>0</v>
      </c>
    </row>
    <row r="9" spans="1:9">
      <c r="A9" s="4" t="s">
        <v>665</v>
      </c>
      <c r="B9" s="4" t="s">
        <v>39</v>
      </c>
      <c r="C9" s="28">
        <f>'your footprint'!$E$13/10</f>
        <v>0</v>
      </c>
      <c r="D9" s="21" t="s">
        <v>45</v>
      </c>
      <c r="E9" s="21" t="s">
        <v>45</v>
      </c>
      <c r="F9" s="29">
        <f>IF(OR(D9="Yes",E9&lt;&gt;"Yes"),0,'your footprint'!$E$13*0.1)</f>
        <v>0</v>
      </c>
    </row>
    <row r="10" spans="1:9">
      <c r="A10" s="4" t="s">
        <v>666</v>
      </c>
      <c r="B10" s="4" t="s">
        <v>39</v>
      </c>
      <c r="C10" s="28">
        <f>'your footprint'!$E$13/10</f>
        <v>0</v>
      </c>
      <c r="D10" s="21" t="s">
        <v>45</v>
      </c>
      <c r="E10" s="21" t="s">
        <v>45</v>
      </c>
      <c r="F10" s="29">
        <f>IF(OR(D10="Yes",E10&lt;&gt;"Yes"),0,'your footprint'!$E$13*0.1)</f>
        <v>0</v>
      </c>
    </row>
    <row r="11" spans="1:9">
      <c r="A11" s="4" t="s">
        <v>89</v>
      </c>
      <c r="B11" s="4" t="s">
        <v>136</v>
      </c>
      <c r="C11" s="28">
        <f>'your footprint'!$E$14/10</f>
        <v>0</v>
      </c>
      <c r="D11" s="21" t="s">
        <v>45</v>
      </c>
      <c r="E11" s="21" t="s">
        <v>45</v>
      </c>
      <c r="F11" s="29">
        <f>IF(OR(D11="Yes",E11&lt;&gt;"Yes"),0,'your footprint'!$E$14*0.1)</f>
        <v>0</v>
      </c>
    </row>
    <row r="12" spans="1:9">
      <c r="A12" s="4" t="s">
        <v>667</v>
      </c>
      <c r="B12" s="4" t="s">
        <v>40</v>
      </c>
      <c r="C12" s="28">
        <f>'your footprint'!$E$14/10*4</f>
        <v>0</v>
      </c>
      <c r="D12" s="21" t="s">
        <v>45</v>
      </c>
      <c r="E12" s="21" t="s">
        <v>237</v>
      </c>
      <c r="F12" s="29">
        <f>IF(OR(D12="Yes",E12&lt;&gt;"Yes"),0,'your footprint'!$E$14*0.1)</f>
        <v>0</v>
      </c>
    </row>
    <row r="13" spans="1:9">
      <c r="A13" s="4" t="s">
        <v>668</v>
      </c>
      <c r="B13" s="4" t="s">
        <v>707</v>
      </c>
      <c r="C13" s="28" t="e">
        <f>'your footprint'!#REF!/10*3</f>
        <v>#REF!</v>
      </c>
      <c r="D13" s="21" t="s">
        <v>45</v>
      </c>
      <c r="E13" s="21" t="s">
        <v>45</v>
      </c>
      <c r="F13" s="29">
        <f>IF(OR(D13="Yes",E13&lt;&gt;"Yes"),0,'your footprint'!#REF!*0.3)</f>
        <v>0</v>
      </c>
    </row>
    <row r="14" spans="1:9">
      <c r="A14" s="9" t="s">
        <v>669</v>
      </c>
      <c r="B14" s="10"/>
      <c r="C14" s="33"/>
      <c r="D14" s="22"/>
      <c r="E14" s="22"/>
      <c r="F14" s="10"/>
    </row>
    <row r="15" spans="1:9">
      <c r="A15" s="4" t="s">
        <v>670</v>
      </c>
      <c r="B15" s="4" t="s">
        <v>708</v>
      </c>
      <c r="C15" s="28" t="e">
        <f>'your footprint'!#REF!</f>
        <v>#REF!</v>
      </c>
      <c r="D15" s="21" t="s">
        <v>45</v>
      </c>
      <c r="E15" s="21" t="s">
        <v>45</v>
      </c>
      <c r="F15" s="29">
        <f>IF(OR(D15="Yes",E15&lt;&gt;"Yes"),0,'your footprint'!#REF!)</f>
        <v>0</v>
      </c>
    </row>
    <row r="16" spans="1:9">
      <c r="A16" s="9" t="s">
        <v>671</v>
      </c>
      <c r="B16" s="10"/>
      <c r="C16" s="33"/>
      <c r="D16" s="22"/>
      <c r="E16" s="22"/>
      <c r="F16" s="10"/>
    </row>
    <row r="17" spans="1:6">
      <c r="A17" s="4" t="s">
        <v>672</v>
      </c>
      <c r="B17" s="4" t="s">
        <v>91</v>
      </c>
      <c r="C17" s="28" t="e">
        <f>0.333*#REF!</f>
        <v>#REF!</v>
      </c>
      <c r="D17" s="21" t="s">
        <v>45</v>
      </c>
      <c r="E17" s="21" t="s">
        <v>45</v>
      </c>
      <c r="F17" s="29">
        <f>IF(OR(D17="Yes",E17&lt;&gt;"Yes"),0,#REF!*0.333)</f>
        <v>0</v>
      </c>
    </row>
    <row r="18" spans="1:6">
      <c r="A18" s="4" t="s">
        <v>673</v>
      </c>
      <c r="B18" s="4" t="s">
        <v>91</v>
      </c>
      <c r="C18" s="28" t="e">
        <f>0.333*#REF!</f>
        <v>#REF!</v>
      </c>
      <c r="D18" s="21" t="s">
        <v>45</v>
      </c>
      <c r="E18" s="21" t="s">
        <v>45</v>
      </c>
      <c r="F18" s="29">
        <f>IF(OR(D18="Yes",E18&lt;&gt;"Yes"),0,#REF!*0.333)</f>
        <v>0</v>
      </c>
    </row>
    <row r="19" spans="1:6">
      <c r="A19" s="4" t="s">
        <v>674</v>
      </c>
      <c r="B19" s="4" t="s">
        <v>91</v>
      </c>
      <c r="C19" s="28" t="e">
        <f>0.333*#REF!</f>
        <v>#REF!</v>
      </c>
      <c r="D19" s="21" t="s">
        <v>45</v>
      </c>
      <c r="E19" s="21" t="s">
        <v>45</v>
      </c>
      <c r="F19" s="29">
        <f>IF(OR(D19="Yes",E19&lt;&gt;"Yes"),0,#REF!*0.333)</f>
        <v>0</v>
      </c>
    </row>
    <row r="20" spans="1:6">
      <c r="A20" s="6" t="s">
        <v>675</v>
      </c>
      <c r="B20" s="7"/>
      <c r="C20" s="34"/>
      <c r="D20" s="21"/>
      <c r="E20" s="23"/>
      <c r="F20" s="8"/>
    </row>
    <row r="21" spans="1:6">
      <c r="A21" s="9" t="s">
        <v>577</v>
      </c>
      <c r="B21" s="10"/>
      <c r="C21" s="33"/>
      <c r="D21" s="22"/>
      <c r="E21" s="22"/>
      <c r="F21" s="10"/>
    </row>
    <row r="22" spans="1:6">
      <c r="A22" s="4" t="s">
        <v>676</v>
      </c>
      <c r="B22" s="4" t="s">
        <v>41</v>
      </c>
      <c r="C22" s="28">
        <f>'your footprint'!E13/4*0.8</f>
        <v>0</v>
      </c>
      <c r="D22" s="21" t="s">
        <v>45</v>
      </c>
      <c r="E22" s="21" t="s">
        <v>45</v>
      </c>
      <c r="F22" s="29">
        <f>IF(OR(D22="Yes",E22&lt;&gt;"Yes"),0,'your footprint'!$E$13/4*0.8)</f>
        <v>0</v>
      </c>
    </row>
    <row r="23" spans="1:6">
      <c r="A23" s="4" t="s">
        <v>137</v>
      </c>
      <c r="B23" s="4" t="s">
        <v>42</v>
      </c>
      <c r="C23" s="28">
        <f>'your footprint'!$E$14*0.17</f>
        <v>0</v>
      </c>
      <c r="D23" s="21" t="s">
        <v>45</v>
      </c>
      <c r="E23" s="21" t="s">
        <v>45</v>
      </c>
      <c r="F23" s="29">
        <f>IF(OR(D23="Yes",E23&lt;&gt;"Yes"),0,'your footprint'!$E$14*0.17)</f>
        <v>0</v>
      </c>
    </row>
    <row r="24" spans="1:6">
      <c r="A24" s="4" t="s">
        <v>677</v>
      </c>
      <c r="B24" s="4" t="s">
        <v>90</v>
      </c>
      <c r="C24" s="28">
        <f>'your footprint'!$E$14*0.03</f>
        <v>0</v>
      </c>
      <c r="D24" s="21" t="s">
        <v>45</v>
      </c>
      <c r="E24" s="21" t="s">
        <v>45</v>
      </c>
      <c r="F24" s="29">
        <f>IF(OR(D24="Yes",E24&lt;&gt;"Yes"),0,'your footprint'!$E$14*0.03)</f>
        <v>0</v>
      </c>
    </row>
    <row r="25" spans="1:6">
      <c r="A25" s="4" t="s">
        <v>678</v>
      </c>
      <c r="B25" s="4" t="s">
        <v>90</v>
      </c>
      <c r="C25" s="28">
        <f>'your footprint'!$E$14*0.02</f>
        <v>0</v>
      </c>
      <c r="D25" s="21" t="s">
        <v>45</v>
      </c>
      <c r="E25" s="21" t="s">
        <v>45</v>
      </c>
      <c r="F25" s="29">
        <f>IF(OR(D25="Yes",E25&lt;&gt;"Yes"),0,'your footprint'!$E$14*0.03)</f>
        <v>0</v>
      </c>
    </row>
    <row r="26" spans="1:6">
      <c r="A26" s="4" t="s">
        <v>679</v>
      </c>
      <c r="B26" s="4" t="s">
        <v>90</v>
      </c>
      <c r="C26" s="28">
        <f>'your footprint'!$E$14*0.03</f>
        <v>0</v>
      </c>
      <c r="D26" s="21" t="s">
        <v>45</v>
      </c>
      <c r="E26" s="21" t="s">
        <v>45</v>
      </c>
      <c r="F26" s="29">
        <f>IF(OR(D26="Yes",E26&lt;&gt;"Yes"),0,'your footprint'!$E$14*0.03)</f>
        <v>0</v>
      </c>
    </row>
    <row r="27" spans="1:6">
      <c r="A27" s="4" t="s">
        <v>680</v>
      </c>
      <c r="B27" s="4" t="s">
        <v>90</v>
      </c>
      <c r="C27" s="28">
        <f>'your footprint'!$E$14*0.02</f>
        <v>0</v>
      </c>
      <c r="D27" s="21" t="s">
        <v>45</v>
      </c>
      <c r="E27" s="21" t="s">
        <v>45</v>
      </c>
      <c r="F27" s="29">
        <f>IF(OR(D27="Yes",E27&lt;&gt;"Yes"),0,'your footprint'!$E$14*0.03)</f>
        <v>0</v>
      </c>
    </row>
    <row r="28" spans="1:6">
      <c r="A28" s="4"/>
      <c r="B28" s="4"/>
      <c r="C28" s="32"/>
      <c r="D28" s="21"/>
      <c r="E28" s="21"/>
      <c r="F28" s="4"/>
    </row>
    <row r="29" spans="1:6">
      <c r="A29" s="9" t="s">
        <v>669</v>
      </c>
      <c r="B29" s="10"/>
      <c r="C29" s="33"/>
      <c r="D29" s="22"/>
      <c r="E29" s="22"/>
      <c r="F29" s="10"/>
    </row>
    <row r="30" spans="1:6">
      <c r="A30" s="4" t="s">
        <v>682</v>
      </c>
      <c r="B30" s="4" t="s">
        <v>647</v>
      </c>
      <c r="C30" s="28" t="e">
        <f>(#REF!/4+#REF!/4)/1000</f>
        <v>#REF!</v>
      </c>
      <c r="D30" s="21" t="s">
        <v>45</v>
      </c>
      <c r="E30" s="21" t="s">
        <v>45</v>
      </c>
      <c r="F30" s="29">
        <f>IF(OR(D30="Yes",E30&lt;&gt;"Yes"),0,(#REF!/4+#REF!/4)/1000)</f>
        <v>0</v>
      </c>
    </row>
    <row r="31" spans="1:6">
      <c r="A31" s="4" t="s">
        <v>683</v>
      </c>
      <c r="B31" s="4" t="s">
        <v>648</v>
      </c>
      <c r="C31" s="28" t="e">
        <f>C30/25*10</f>
        <v>#REF!</v>
      </c>
      <c r="D31" s="21" t="s">
        <v>45</v>
      </c>
      <c r="E31" s="21" t="s">
        <v>45</v>
      </c>
      <c r="F31" s="29">
        <f>IF(OR(D31="Yes",E31&lt;&gt;"Yes"),0,(F30/25*10))</f>
        <v>0</v>
      </c>
    </row>
    <row r="32" spans="1:6">
      <c r="A32" s="4" t="s">
        <v>142</v>
      </c>
      <c r="B32" s="4" t="s">
        <v>143</v>
      </c>
      <c r="C32" s="28" t="e">
        <f>'your footprint'!#REF!/5</f>
        <v>#REF!</v>
      </c>
      <c r="D32" s="21" t="s">
        <v>45</v>
      </c>
      <c r="E32" s="21" t="s">
        <v>45</v>
      </c>
      <c r="F32" s="29">
        <f>IF(OR(D32="Yes",E32&lt;&gt;"Yes"),0,(C32))</f>
        <v>0</v>
      </c>
    </row>
    <row r="33" spans="1:6">
      <c r="A33" s="9" t="s">
        <v>671</v>
      </c>
      <c r="B33" s="10"/>
      <c r="C33" s="33"/>
      <c r="D33" s="22"/>
      <c r="E33" s="22"/>
      <c r="F33" s="10"/>
    </row>
    <row r="34" spans="1:6">
      <c r="A34" s="4" t="s">
        <v>684</v>
      </c>
      <c r="B34" s="4" t="s">
        <v>649</v>
      </c>
      <c r="C34" s="28" t="e">
        <f>0.1*#REF!</f>
        <v>#REF!</v>
      </c>
      <c r="D34" s="21" t="s">
        <v>45</v>
      </c>
      <c r="E34" s="21" t="s">
        <v>45</v>
      </c>
      <c r="F34" s="43">
        <f>IF(OR(D34="Yes",E34&lt;&gt;"Yes"),0,#REF!*0.1)</f>
        <v>0</v>
      </c>
    </row>
    <row r="35" spans="1:6">
      <c r="C35" s="35" t="s">
        <v>685</v>
      </c>
      <c r="D35" s="24"/>
      <c r="E35" s="21"/>
      <c r="F35" s="30">
        <f>SUM(F7:F34)</f>
        <v>0</v>
      </c>
    </row>
    <row r="36" spans="1:6" ht="7.5" customHeight="1">
      <c r="C36" s="35"/>
      <c r="D36" s="24"/>
      <c r="E36" s="31"/>
      <c r="F36" s="38"/>
    </row>
    <row r="37" spans="1:6">
      <c r="A37" s="2" t="s">
        <v>103</v>
      </c>
      <c r="C37" s="35"/>
      <c r="D37" s="24"/>
      <c r="E37" s="31"/>
      <c r="F37" s="38"/>
    </row>
    <row r="38" spans="1:6">
      <c r="A38" s="1" t="s">
        <v>104</v>
      </c>
      <c r="C38" s="39" t="s">
        <v>107</v>
      </c>
      <c r="D38" s="13" t="s">
        <v>134</v>
      </c>
      <c r="E38" s="31"/>
      <c r="F38" s="38"/>
    </row>
    <row r="39" spans="1:6">
      <c r="A39" s="1" t="s">
        <v>105</v>
      </c>
      <c r="C39" s="39" t="s">
        <v>107</v>
      </c>
      <c r="D39" s="13" t="s">
        <v>135</v>
      </c>
      <c r="E39" s="31"/>
      <c r="F39" s="38"/>
    </row>
    <row r="40" spans="1:6">
      <c r="A40" s="1" t="s">
        <v>106</v>
      </c>
      <c r="C40" s="39" t="s">
        <v>107</v>
      </c>
      <c r="D40" s="13" t="s">
        <v>164</v>
      </c>
      <c r="E40" s="31"/>
      <c r="F40" s="38"/>
    </row>
    <row r="41" spans="1:6">
      <c r="A41" s="816" t="s">
        <v>162</v>
      </c>
      <c r="B41" s="817"/>
      <c r="C41" s="817"/>
      <c r="D41" s="13" t="s">
        <v>163</v>
      </c>
      <c r="E41" s="31"/>
      <c r="F41" s="38"/>
    </row>
    <row r="42" spans="1:6">
      <c r="A42" s="83"/>
      <c r="B42" s="51"/>
      <c r="C42" s="51"/>
      <c r="D42" s="13"/>
      <c r="E42" s="31"/>
      <c r="F42" s="38"/>
    </row>
    <row r="43" spans="1:6" ht="15">
      <c r="A43" s="14" t="s">
        <v>579</v>
      </c>
      <c r="C43" s="36"/>
      <c r="D43" s="24"/>
    </row>
    <row r="44" spans="1:6" ht="15">
      <c r="A44" s="14" t="s">
        <v>688</v>
      </c>
      <c r="C44" s="36"/>
      <c r="D44" s="24"/>
    </row>
    <row r="45" spans="1:6" ht="4.5" customHeight="1">
      <c r="A45" s="2"/>
      <c r="C45" s="36"/>
      <c r="D45" s="24"/>
    </row>
    <row r="46" spans="1:6">
      <c r="A46" s="2" t="s">
        <v>141</v>
      </c>
      <c r="C46" s="36"/>
      <c r="D46" s="24"/>
    </row>
    <row r="47" spans="1:6" ht="5.25" customHeight="1">
      <c r="C47" s="36"/>
      <c r="D47" s="24"/>
    </row>
    <row r="48" spans="1:6">
      <c r="A48" s="5" t="s">
        <v>657</v>
      </c>
      <c r="B48" s="5" t="s">
        <v>658</v>
      </c>
      <c r="C48" s="37" t="s">
        <v>659</v>
      </c>
      <c r="D48" s="25"/>
      <c r="E48" s="25" t="s">
        <v>660</v>
      </c>
      <c r="F48" s="5" t="s">
        <v>661</v>
      </c>
    </row>
    <row r="49" spans="1:8">
      <c r="A49" s="3" t="s">
        <v>689</v>
      </c>
      <c r="B49" s="4"/>
      <c r="C49" s="32"/>
      <c r="D49" s="21"/>
      <c r="E49" s="21"/>
      <c r="F49" s="4"/>
    </row>
    <row r="50" spans="1:8">
      <c r="A50" s="9" t="s">
        <v>662</v>
      </c>
      <c r="B50" s="10"/>
      <c r="C50" s="33"/>
      <c r="D50" s="22"/>
      <c r="E50" s="22"/>
      <c r="F50" s="10"/>
    </row>
    <row r="51" spans="1:8">
      <c r="A51" s="4" t="s">
        <v>690</v>
      </c>
      <c r="B51" s="4" t="s">
        <v>175</v>
      </c>
      <c r="C51" s="28" t="e">
        <f>'qde calcs'!#REF!/10*3/5</f>
        <v>#REF!</v>
      </c>
      <c r="D51" s="21" t="s">
        <v>45</v>
      </c>
      <c r="E51" s="21" t="s">
        <v>45</v>
      </c>
      <c r="F51" s="29">
        <f t="shared" ref="F51:F64" si="0">IF(OR(D51="Yes",E51&lt;&gt;"Yes"),0,C51)</f>
        <v>0</v>
      </c>
      <c r="H51" s="1" t="s">
        <v>174</v>
      </c>
    </row>
    <row r="52" spans="1:8">
      <c r="A52" s="4" t="s">
        <v>691</v>
      </c>
      <c r="B52" s="4" t="s">
        <v>175</v>
      </c>
      <c r="C52" s="28" t="e">
        <f>'qde calcs'!#REF!/10*3/5</f>
        <v>#REF!</v>
      </c>
      <c r="D52" s="21" t="s">
        <v>45</v>
      </c>
      <c r="E52" s="21" t="s">
        <v>45</v>
      </c>
      <c r="F52" s="29">
        <f t="shared" si="0"/>
        <v>0</v>
      </c>
    </row>
    <row r="53" spans="1:8">
      <c r="A53" s="4" t="s">
        <v>705</v>
      </c>
      <c r="B53" s="4" t="s">
        <v>175</v>
      </c>
      <c r="C53" s="28" t="e">
        <f>'qde calcs'!#REF!/10*3/5</f>
        <v>#REF!</v>
      </c>
      <c r="D53" s="21" t="s">
        <v>45</v>
      </c>
      <c r="E53" s="21" t="s">
        <v>45</v>
      </c>
      <c r="F53" s="29">
        <f t="shared" si="0"/>
        <v>0</v>
      </c>
    </row>
    <row r="54" spans="1:8">
      <c r="A54" s="4" t="s">
        <v>692</v>
      </c>
      <c r="B54" s="4" t="s">
        <v>175</v>
      </c>
      <c r="C54" s="28" t="e">
        <f>'qde calcs'!#REF!/10*3/5</f>
        <v>#REF!</v>
      </c>
      <c r="D54" s="21" t="s">
        <v>45</v>
      </c>
      <c r="E54" s="21" t="s">
        <v>45</v>
      </c>
      <c r="F54" s="29">
        <f t="shared" si="0"/>
        <v>0</v>
      </c>
    </row>
    <row r="55" spans="1:8">
      <c r="A55" s="4" t="s">
        <v>693</v>
      </c>
      <c r="B55" s="4" t="s">
        <v>175</v>
      </c>
      <c r="C55" s="28" t="e">
        <f>'qde calcs'!#REF!/10*3/5</f>
        <v>#REF!</v>
      </c>
      <c r="D55" s="21" t="s">
        <v>45</v>
      </c>
      <c r="E55" s="21" t="s">
        <v>45</v>
      </c>
      <c r="F55" s="29">
        <f t="shared" si="0"/>
        <v>0</v>
      </c>
    </row>
    <row r="56" spans="1:8">
      <c r="A56" s="4" t="s">
        <v>694</v>
      </c>
      <c r="B56" s="4" t="s">
        <v>176</v>
      </c>
      <c r="C56" s="28" t="e">
        <f>('qde calcs'!#REF!+'qde calcs'!#REF!)/100*40</f>
        <v>#REF!</v>
      </c>
      <c r="D56" s="21" t="s">
        <v>45</v>
      </c>
      <c r="E56" s="21" t="s">
        <v>45</v>
      </c>
      <c r="F56" s="29">
        <f t="shared" si="0"/>
        <v>0</v>
      </c>
    </row>
    <row r="57" spans="1:8">
      <c r="A57" s="4" t="s">
        <v>695</v>
      </c>
      <c r="B57" s="11" t="s">
        <v>706</v>
      </c>
      <c r="C57" s="28">
        <f>'qde calcs'!D66/10</f>
        <v>0</v>
      </c>
      <c r="D57" s="21" t="s">
        <v>45</v>
      </c>
      <c r="E57" s="21" t="s">
        <v>45</v>
      </c>
      <c r="F57" s="29">
        <f t="shared" si="0"/>
        <v>0</v>
      </c>
    </row>
    <row r="58" spans="1:8">
      <c r="A58" s="4" t="s">
        <v>696</v>
      </c>
      <c r="B58" s="4" t="s">
        <v>650</v>
      </c>
      <c r="C58" s="28" t="e">
        <f>'qde calcs'!#REF!/2</f>
        <v>#REF!</v>
      </c>
      <c r="D58" s="21" t="s">
        <v>45</v>
      </c>
      <c r="E58" s="21" t="s">
        <v>45</v>
      </c>
      <c r="F58" s="29">
        <f t="shared" si="0"/>
        <v>0</v>
      </c>
    </row>
    <row r="59" spans="1:8">
      <c r="A59" s="4" t="s">
        <v>698</v>
      </c>
      <c r="B59" s="4" t="s">
        <v>146</v>
      </c>
      <c r="C59" s="28">
        <f>'qde calcs'!D66/10*3</f>
        <v>0</v>
      </c>
      <c r="D59" s="21" t="s">
        <v>45</v>
      </c>
      <c r="E59" s="21" t="s">
        <v>45</v>
      </c>
      <c r="F59" s="29">
        <f t="shared" si="0"/>
        <v>0</v>
      </c>
    </row>
    <row r="60" spans="1:8">
      <c r="A60" s="4" t="s">
        <v>699</v>
      </c>
      <c r="B60" s="4" t="s">
        <v>147</v>
      </c>
      <c r="C60" s="28">
        <f>'qde calcs'!D66/10*3</f>
        <v>0</v>
      </c>
      <c r="D60" s="21" t="s">
        <v>45</v>
      </c>
      <c r="E60" s="21" t="s">
        <v>45</v>
      </c>
      <c r="F60" s="29">
        <f t="shared" si="0"/>
        <v>0</v>
      </c>
    </row>
    <row r="61" spans="1:8">
      <c r="A61" s="9" t="s">
        <v>669</v>
      </c>
      <c r="B61" s="10"/>
      <c r="C61" s="33"/>
      <c r="D61" s="22"/>
      <c r="E61" s="22"/>
      <c r="F61" s="10"/>
    </row>
    <row r="62" spans="1:8">
      <c r="A62" s="4" t="s">
        <v>700</v>
      </c>
      <c r="B62" s="4" t="s">
        <v>651</v>
      </c>
      <c r="C62" s="28" t="e">
        <f>(#REF!+#REF!)-F31-F32-F30</f>
        <v>#REF!</v>
      </c>
      <c r="D62" s="21" t="s">
        <v>45</v>
      </c>
      <c r="E62" s="21" t="s">
        <v>45</v>
      </c>
      <c r="F62" s="43">
        <f t="shared" si="0"/>
        <v>0</v>
      </c>
    </row>
    <row r="63" spans="1:8">
      <c r="A63" s="9" t="s">
        <v>671</v>
      </c>
      <c r="B63" s="10"/>
      <c r="C63" s="33"/>
      <c r="D63" s="22"/>
      <c r="E63" s="22"/>
      <c r="F63" s="10"/>
    </row>
    <row r="64" spans="1:8">
      <c r="A64" s="4" t="s">
        <v>148</v>
      </c>
      <c r="B64" s="4" t="s">
        <v>149</v>
      </c>
      <c r="C64" s="32"/>
      <c r="D64" s="21" t="s">
        <v>45</v>
      </c>
      <c r="E64" s="21" t="s">
        <v>45</v>
      </c>
      <c r="F64" s="43">
        <f t="shared" si="0"/>
        <v>0</v>
      </c>
      <c r="G64" s="1" t="s">
        <v>173</v>
      </c>
    </row>
    <row r="65" spans="1:6">
      <c r="A65" s="3" t="s">
        <v>701</v>
      </c>
      <c r="B65" s="4"/>
      <c r="C65" s="32"/>
      <c r="D65" s="21"/>
      <c r="E65" s="21"/>
      <c r="F65" s="4"/>
    </row>
    <row r="66" spans="1:6">
      <c r="A66" s="9" t="s">
        <v>669</v>
      </c>
      <c r="B66" s="10"/>
      <c r="C66" s="33"/>
      <c r="D66" s="22"/>
      <c r="E66" s="22"/>
      <c r="F66" s="10"/>
    </row>
    <row r="67" spans="1:6">
      <c r="A67" s="4" t="s">
        <v>702</v>
      </c>
      <c r="B67" s="4" t="s">
        <v>652</v>
      </c>
      <c r="C67" s="28" t="e">
        <f ca="1">'qde calcs'!D67</f>
        <v>#DIV/0!</v>
      </c>
      <c r="D67" s="21" t="s">
        <v>45</v>
      </c>
      <c r="E67" s="21" t="s">
        <v>45</v>
      </c>
      <c r="F67" s="43">
        <f>IF(OR(D67="Yes",E67&lt;&gt;"Yes"),0,C67)</f>
        <v>0</v>
      </c>
    </row>
    <row r="68" spans="1:6">
      <c r="A68" s="4" t="s">
        <v>703</v>
      </c>
      <c r="B68" s="4" t="s">
        <v>653</v>
      </c>
      <c r="C68" s="28" t="e">
        <f ca="1">C67/5</f>
        <v>#DIV/0!</v>
      </c>
      <c r="D68" s="21" t="s">
        <v>45</v>
      </c>
      <c r="E68" s="21" t="s">
        <v>45</v>
      </c>
      <c r="F68" s="43">
        <f>IF(OR(D68="Yes",E68&lt;&gt;"Yes"),0,C68)</f>
        <v>0</v>
      </c>
    </row>
    <row r="69" spans="1:6">
      <c r="A69" s="9" t="s">
        <v>671</v>
      </c>
      <c r="B69" s="10"/>
      <c r="C69" s="33"/>
      <c r="D69" s="22"/>
      <c r="E69" s="22"/>
      <c r="F69" s="10"/>
    </row>
    <row r="70" spans="1:6">
      <c r="A70" s="4" t="s">
        <v>704</v>
      </c>
      <c r="B70" s="1" t="s">
        <v>92</v>
      </c>
      <c r="C70" s="27">
        <v>1</v>
      </c>
      <c r="D70" s="21" t="s">
        <v>45</v>
      </c>
      <c r="E70" s="21" t="s">
        <v>45</v>
      </c>
      <c r="F70" s="43">
        <f>IF(OR(D70="Yes",E70&lt;&gt;"Yes"),0,C70)</f>
        <v>0</v>
      </c>
    </row>
    <row r="71" spans="1:6">
      <c r="C71" s="35" t="s">
        <v>685</v>
      </c>
      <c r="D71" s="24"/>
      <c r="E71" s="21"/>
      <c r="F71" s="44">
        <f>SUM(F51:F70)</f>
        <v>0</v>
      </c>
    </row>
    <row r="72" spans="1:6">
      <c r="A72" s="1" t="s">
        <v>580</v>
      </c>
      <c r="C72" s="35"/>
      <c r="D72" s="24"/>
      <c r="E72" s="31"/>
      <c r="F72" s="46"/>
    </row>
    <row r="73" spans="1:6" ht="15">
      <c r="A73" s="14" t="s">
        <v>166</v>
      </c>
      <c r="C73" s="36"/>
      <c r="D73" s="24"/>
    </row>
    <row r="74" spans="1:6">
      <c r="A74" s="4" t="s">
        <v>681</v>
      </c>
      <c r="B74" s="4" t="s">
        <v>140</v>
      </c>
      <c r="C74" s="28">
        <f>'qde calcs'!D66-F57-F59</f>
        <v>0</v>
      </c>
      <c r="D74" s="21" t="s">
        <v>45</v>
      </c>
      <c r="E74" s="21" t="s">
        <v>45</v>
      </c>
      <c r="F74" s="29">
        <f>'qde calcs'!D66-'pledge sheet'!F57-'pledge sheet'!F59-'pledge sheet'!F60</f>
        <v>0</v>
      </c>
    </row>
    <row r="75" spans="1:6">
      <c r="A75" s="1" t="s">
        <v>169</v>
      </c>
      <c r="C75" s="36"/>
    </row>
    <row r="76" spans="1:6">
      <c r="A76" s="1" t="s">
        <v>171</v>
      </c>
      <c r="C76" s="36"/>
    </row>
    <row r="77" spans="1:6">
      <c r="A77" s="1" t="s">
        <v>170</v>
      </c>
      <c r="C77" s="36"/>
    </row>
    <row r="78" spans="1:6">
      <c r="A78" s="1" t="s">
        <v>172</v>
      </c>
      <c r="C78" s="36"/>
    </row>
    <row r="79" spans="1:6">
      <c r="C79" s="36"/>
    </row>
    <row r="80" spans="1:6">
      <c r="A80" s="2" t="s">
        <v>103</v>
      </c>
      <c r="C80" s="35"/>
      <c r="D80" s="24"/>
    </row>
    <row r="81" spans="1:4">
      <c r="A81" s="1" t="s">
        <v>697</v>
      </c>
      <c r="C81" s="39" t="s">
        <v>107</v>
      </c>
      <c r="D81" s="13" t="s">
        <v>134</v>
      </c>
    </row>
    <row r="82" spans="1:4">
      <c r="A82" s="1" t="s">
        <v>138</v>
      </c>
      <c r="C82" s="39" t="s">
        <v>107</v>
      </c>
      <c r="D82" s="13" t="s">
        <v>135</v>
      </c>
    </row>
    <row r="83" spans="1:4">
      <c r="A83" s="1" t="s">
        <v>139</v>
      </c>
      <c r="C83" s="39" t="s">
        <v>107</v>
      </c>
      <c r="D83" s="13" t="s">
        <v>164</v>
      </c>
    </row>
    <row r="84" spans="1:4">
      <c r="A84" s="816" t="s">
        <v>165</v>
      </c>
      <c r="B84" s="817"/>
      <c r="C84" s="817"/>
      <c r="D84" s="13" t="s">
        <v>163</v>
      </c>
    </row>
    <row r="85" spans="1:4">
      <c r="A85" s="1" t="s">
        <v>138</v>
      </c>
      <c r="C85" s="39" t="s">
        <v>107</v>
      </c>
    </row>
    <row r="86" spans="1:4">
      <c r="C86" s="36"/>
    </row>
    <row r="87" spans="1:4">
      <c r="C87" s="36"/>
    </row>
    <row r="88" spans="1:4">
      <c r="C88" s="36"/>
    </row>
    <row r="89" spans="1:4">
      <c r="C89" s="36"/>
    </row>
    <row r="90" spans="1:4">
      <c r="C90" s="36"/>
    </row>
    <row r="91" spans="1:4">
      <c r="C91" s="36"/>
    </row>
    <row r="92" spans="1:4">
      <c r="C92" s="36"/>
    </row>
    <row r="93" spans="1:4">
      <c r="C93" s="36"/>
    </row>
    <row r="94" spans="1:4">
      <c r="C94" s="36"/>
    </row>
    <row r="95" spans="1:4">
      <c r="C95" s="36"/>
    </row>
    <row r="96" spans="1:4">
      <c r="C96" s="36"/>
    </row>
    <row r="97" spans="3:3">
      <c r="C97" s="36"/>
    </row>
    <row r="98" spans="3:3">
      <c r="C98" s="36"/>
    </row>
    <row r="99" spans="3:3">
      <c r="C99" s="36"/>
    </row>
    <row r="100" spans="3:3">
      <c r="C100" s="36"/>
    </row>
    <row r="101" spans="3:3">
      <c r="C101" s="36"/>
    </row>
    <row r="102" spans="3:3">
      <c r="C102" s="36"/>
    </row>
    <row r="103" spans="3:3">
      <c r="C103" s="36"/>
    </row>
    <row r="104" spans="3:3">
      <c r="C104" s="36"/>
    </row>
    <row r="105" spans="3:3">
      <c r="C105" s="36"/>
    </row>
    <row r="106" spans="3:3">
      <c r="C106" s="36"/>
    </row>
    <row r="107" spans="3:3">
      <c r="C107" s="36"/>
    </row>
    <row r="108" spans="3:3">
      <c r="C108" s="36"/>
    </row>
    <row r="109" spans="3:3">
      <c r="C109" s="36"/>
    </row>
    <row r="110" spans="3:3">
      <c r="C110" s="36"/>
    </row>
    <row r="111" spans="3:3">
      <c r="C111" s="36"/>
    </row>
    <row r="112" spans="3:3">
      <c r="C112" s="36"/>
    </row>
    <row r="113" spans="3:3">
      <c r="C113" s="36"/>
    </row>
    <row r="114" spans="3:3">
      <c r="C114" s="36"/>
    </row>
    <row r="115" spans="3:3">
      <c r="C115" s="36"/>
    </row>
    <row r="116" spans="3:3">
      <c r="C116" s="36"/>
    </row>
    <row r="117" spans="3:3">
      <c r="C117" s="36"/>
    </row>
    <row r="118" spans="3:3">
      <c r="C118" s="36"/>
    </row>
    <row r="119" spans="3:3">
      <c r="C119" s="36"/>
    </row>
    <row r="120" spans="3:3">
      <c r="C120" s="36"/>
    </row>
    <row r="121" spans="3:3">
      <c r="C121" s="36"/>
    </row>
    <row r="122" spans="3:3">
      <c r="C122" s="36"/>
    </row>
    <row r="123" spans="3:3">
      <c r="C123" s="36"/>
    </row>
    <row r="124" spans="3:3">
      <c r="C124" s="36"/>
    </row>
    <row r="125" spans="3:3">
      <c r="C125" s="36"/>
    </row>
    <row r="126" spans="3:3">
      <c r="C126" s="36"/>
    </row>
    <row r="127" spans="3:3">
      <c r="C127" s="36"/>
    </row>
    <row r="128" spans="3:3">
      <c r="C128" s="36"/>
    </row>
    <row r="129" spans="3:3">
      <c r="C129" s="36"/>
    </row>
    <row r="130" spans="3:3">
      <c r="C130" s="36"/>
    </row>
    <row r="131" spans="3:3">
      <c r="C131" s="36"/>
    </row>
    <row r="132" spans="3:3">
      <c r="C132" s="36"/>
    </row>
    <row r="133" spans="3:3">
      <c r="C133" s="36"/>
    </row>
    <row r="134" spans="3:3">
      <c r="C134" s="36"/>
    </row>
    <row r="135" spans="3:3">
      <c r="C135" s="36"/>
    </row>
    <row r="136" spans="3:3">
      <c r="C136" s="36"/>
    </row>
    <row r="137" spans="3:3">
      <c r="C137" s="36"/>
    </row>
    <row r="138" spans="3:3">
      <c r="C138" s="36"/>
    </row>
    <row r="139" spans="3:3">
      <c r="C139" s="36"/>
    </row>
    <row r="140" spans="3:3">
      <c r="C140" s="36"/>
    </row>
    <row r="141" spans="3:3">
      <c r="C141" s="36"/>
    </row>
    <row r="142" spans="3:3">
      <c r="C142" s="36"/>
    </row>
    <row r="143" spans="3:3">
      <c r="C143" s="36"/>
    </row>
    <row r="144" spans="3:3">
      <c r="C144" s="36"/>
    </row>
    <row r="145" spans="3:3">
      <c r="C145" s="36"/>
    </row>
    <row r="146" spans="3:3">
      <c r="C146" s="36"/>
    </row>
    <row r="147" spans="3:3">
      <c r="C147" s="36"/>
    </row>
    <row r="148" spans="3:3">
      <c r="C148" s="36"/>
    </row>
    <row r="149" spans="3:3">
      <c r="C149" s="36"/>
    </row>
    <row r="150" spans="3:3">
      <c r="C150" s="36"/>
    </row>
    <row r="151" spans="3:3">
      <c r="C151" s="36"/>
    </row>
    <row r="152" spans="3:3">
      <c r="C152" s="36"/>
    </row>
    <row r="153" spans="3:3">
      <c r="C153" s="36"/>
    </row>
    <row r="154" spans="3:3">
      <c r="C154" s="36"/>
    </row>
    <row r="155" spans="3:3">
      <c r="C155" s="36"/>
    </row>
    <row r="156" spans="3:3">
      <c r="C156" s="36"/>
    </row>
    <row r="157" spans="3:3">
      <c r="C157" s="36"/>
    </row>
    <row r="158" spans="3:3">
      <c r="C158" s="36"/>
    </row>
    <row r="159" spans="3:3">
      <c r="C159" s="36"/>
    </row>
    <row r="160" spans="3:3">
      <c r="C160" s="36"/>
    </row>
    <row r="161" spans="3:3">
      <c r="C161" s="36"/>
    </row>
    <row r="162" spans="3:3">
      <c r="C162" s="36"/>
    </row>
    <row r="163" spans="3:3">
      <c r="C163" s="36"/>
    </row>
    <row r="164" spans="3:3">
      <c r="C164" s="36"/>
    </row>
    <row r="165" spans="3:3">
      <c r="C165" s="36"/>
    </row>
    <row r="166" spans="3:3">
      <c r="C166" s="36"/>
    </row>
    <row r="167" spans="3:3">
      <c r="C167" s="36"/>
    </row>
    <row r="168" spans="3:3">
      <c r="C168" s="36"/>
    </row>
    <row r="169" spans="3:3">
      <c r="C169" s="36"/>
    </row>
    <row r="170" spans="3:3">
      <c r="C170" s="36"/>
    </row>
    <row r="171" spans="3:3">
      <c r="C171" s="36"/>
    </row>
    <row r="172" spans="3:3">
      <c r="C172" s="36"/>
    </row>
    <row r="173" spans="3:3">
      <c r="C173" s="36"/>
    </row>
    <row r="174" spans="3:3">
      <c r="C174" s="36"/>
    </row>
    <row r="175" spans="3:3">
      <c r="C175" s="36"/>
    </row>
    <row r="176" spans="3:3">
      <c r="C176" s="36"/>
    </row>
    <row r="177" spans="3:3">
      <c r="C177" s="36"/>
    </row>
    <row r="178" spans="3:3">
      <c r="C178" s="36"/>
    </row>
    <row r="179" spans="3:3">
      <c r="C179" s="36"/>
    </row>
    <row r="180" spans="3:3">
      <c r="C180" s="36"/>
    </row>
    <row r="181" spans="3:3">
      <c r="C181" s="36"/>
    </row>
    <row r="182" spans="3:3">
      <c r="C182" s="36"/>
    </row>
    <row r="183" spans="3:3">
      <c r="C183" s="36"/>
    </row>
    <row r="184" spans="3:3">
      <c r="C184" s="36"/>
    </row>
    <row r="185" spans="3:3">
      <c r="C185" s="36"/>
    </row>
    <row r="186" spans="3:3">
      <c r="C186" s="36"/>
    </row>
    <row r="187" spans="3:3">
      <c r="C187" s="36"/>
    </row>
    <row r="188" spans="3:3">
      <c r="C188" s="36"/>
    </row>
    <row r="189" spans="3:3">
      <c r="C189" s="36"/>
    </row>
    <row r="190" spans="3:3">
      <c r="C190" s="36"/>
    </row>
    <row r="191" spans="3:3">
      <c r="C191" s="36"/>
    </row>
    <row r="192" spans="3:3">
      <c r="C192" s="36"/>
    </row>
    <row r="193" spans="3:3">
      <c r="C193" s="36"/>
    </row>
    <row r="194" spans="3:3">
      <c r="C194" s="36"/>
    </row>
    <row r="195" spans="3:3">
      <c r="C195" s="36"/>
    </row>
    <row r="196" spans="3:3">
      <c r="C196" s="36"/>
    </row>
    <row r="197" spans="3:3">
      <c r="C197" s="36"/>
    </row>
    <row r="198" spans="3:3">
      <c r="C198" s="36"/>
    </row>
    <row r="199" spans="3:3">
      <c r="C199" s="36"/>
    </row>
    <row r="200" spans="3:3">
      <c r="C200" s="36"/>
    </row>
    <row r="201" spans="3:3">
      <c r="C201" s="36"/>
    </row>
    <row r="202" spans="3:3">
      <c r="C202" s="36"/>
    </row>
    <row r="203" spans="3:3">
      <c r="C203" s="36"/>
    </row>
    <row r="204" spans="3:3">
      <c r="C204" s="36"/>
    </row>
    <row r="205" spans="3:3">
      <c r="C205" s="36"/>
    </row>
    <row r="206" spans="3:3">
      <c r="C206" s="36"/>
    </row>
    <row r="207" spans="3:3">
      <c r="C207" s="36"/>
    </row>
    <row r="208" spans="3:3">
      <c r="C208" s="36"/>
    </row>
    <row r="209" spans="3:3">
      <c r="C209" s="36"/>
    </row>
    <row r="210" spans="3:3">
      <c r="C210" s="36"/>
    </row>
    <row r="211" spans="3:3">
      <c r="C211" s="36"/>
    </row>
    <row r="212" spans="3:3">
      <c r="C212" s="36"/>
    </row>
    <row r="213" spans="3:3">
      <c r="C213" s="36"/>
    </row>
    <row r="214" spans="3:3">
      <c r="C214" s="36"/>
    </row>
    <row r="215" spans="3:3">
      <c r="C215" s="36"/>
    </row>
    <row r="216" spans="3:3">
      <c r="C216" s="36"/>
    </row>
    <row r="217" spans="3:3">
      <c r="C217" s="36"/>
    </row>
    <row r="218" spans="3:3">
      <c r="C218" s="36"/>
    </row>
    <row r="219" spans="3:3">
      <c r="C219" s="36"/>
    </row>
    <row r="220" spans="3:3">
      <c r="C220" s="36"/>
    </row>
    <row r="221" spans="3:3">
      <c r="C221" s="36"/>
    </row>
    <row r="222" spans="3:3">
      <c r="C222" s="36"/>
    </row>
    <row r="223" spans="3:3">
      <c r="C223" s="36"/>
    </row>
    <row r="224" spans="3:3">
      <c r="C224" s="36"/>
    </row>
    <row r="225" spans="3:3">
      <c r="C225" s="36"/>
    </row>
    <row r="226" spans="3:3">
      <c r="C226" s="36"/>
    </row>
    <row r="227" spans="3:3">
      <c r="C227" s="36"/>
    </row>
    <row r="228" spans="3:3">
      <c r="C228" s="36"/>
    </row>
    <row r="229" spans="3:3">
      <c r="C229" s="36"/>
    </row>
    <row r="230" spans="3:3">
      <c r="C230" s="36"/>
    </row>
    <row r="231" spans="3:3">
      <c r="C231" s="36"/>
    </row>
    <row r="232" spans="3:3">
      <c r="C232" s="36"/>
    </row>
    <row r="233" spans="3:3">
      <c r="C233" s="36"/>
    </row>
    <row r="234" spans="3:3">
      <c r="C234" s="36"/>
    </row>
    <row r="235" spans="3:3">
      <c r="C235" s="36"/>
    </row>
    <row r="236" spans="3:3">
      <c r="C236" s="36"/>
    </row>
    <row r="237" spans="3:3">
      <c r="C237" s="36"/>
    </row>
    <row r="238" spans="3:3">
      <c r="C238" s="36"/>
    </row>
    <row r="239" spans="3:3">
      <c r="C239" s="36"/>
    </row>
    <row r="240" spans="3:3">
      <c r="C240" s="36"/>
    </row>
    <row r="241" spans="3:3">
      <c r="C241" s="36"/>
    </row>
    <row r="242" spans="3:3">
      <c r="C242" s="36"/>
    </row>
    <row r="243" spans="3:3">
      <c r="C243" s="36"/>
    </row>
    <row r="244" spans="3:3">
      <c r="C244" s="36"/>
    </row>
    <row r="245" spans="3:3">
      <c r="C245" s="36"/>
    </row>
    <row r="246" spans="3:3">
      <c r="C246" s="36"/>
    </row>
    <row r="247" spans="3:3">
      <c r="C247" s="36"/>
    </row>
    <row r="248" spans="3:3">
      <c r="C248" s="36"/>
    </row>
    <row r="249" spans="3:3">
      <c r="C249" s="36"/>
    </row>
    <row r="250" spans="3:3">
      <c r="C250" s="36"/>
    </row>
    <row r="251" spans="3:3">
      <c r="C251" s="36"/>
    </row>
    <row r="252" spans="3:3">
      <c r="C252" s="36"/>
    </row>
    <row r="253" spans="3:3">
      <c r="C253" s="36"/>
    </row>
    <row r="254" spans="3:3">
      <c r="C254" s="36"/>
    </row>
    <row r="255" spans="3:3">
      <c r="C255" s="36"/>
    </row>
    <row r="256" spans="3:3">
      <c r="C256" s="36"/>
    </row>
    <row r="257" spans="3:3">
      <c r="C257" s="36"/>
    </row>
    <row r="258" spans="3:3">
      <c r="C258" s="36"/>
    </row>
    <row r="259" spans="3:3">
      <c r="C259" s="36"/>
    </row>
    <row r="260" spans="3:3">
      <c r="C260" s="36"/>
    </row>
    <row r="261" spans="3:3">
      <c r="C261" s="36"/>
    </row>
    <row r="262" spans="3:3">
      <c r="C262" s="36"/>
    </row>
    <row r="263" spans="3:3">
      <c r="C263" s="36"/>
    </row>
    <row r="264" spans="3:3">
      <c r="C264" s="36"/>
    </row>
    <row r="265" spans="3:3">
      <c r="C265" s="36"/>
    </row>
    <row r="266" spans="3:3">
      <c r="C266" s="36"/>
    </row>
    <row r="267" spans="3:3">
      <c r="C267" s="36"/>
    </row>
    <row r="268" spans="3:3">
      <c r="C268" s="36"/>
    </row>
    <row r="269" spans="3:3">
      <c r="C269" s="36"/>
    </row>
    <row r="270" spans="3:3">
      <c r="C270" s="36"/>
    </row>
    <row r="271" spans="3:3">
      <c r="C271" s="36"/>
    </row>
    <row r="272" spans="3:3">
      <c r="C272" s="36"/>
    </row>
    <row r="273" spans="3:3">
      <c r="C273" s="36"/>
    </row>
    <row r="274" spans="3:3">
      <c r="C274" s="36"/>
    </row>
    <row r="275" spans="3:3">
      <c r="C275" s="36"/>
    </row>
    <row r="276" spans="3:3">
      <c r="C276" s="36"/>
    </row>
    <row r="277" spans="3:3">
      <c r="C277" s="36"/>
    </row>
    <row r="278" spans="3:3">
      <c r="C278" s="36"/>
    </row>
    <row r="279" spans="3:3">
      <c r="C279" s="36"/>
    </row>
    <row r="280" spans="3:3">
      <c r="C280" s="36"/>
    </row>
    <row r="281" spans="3:3">
      <c r="C281" s="36"/>
    </row>
    <row r="282" spans="3:3">
      <c r="C282" s="36"/>
    </row>
    <row r="283" spans="3:3">
      <c r="C283" s="36"/>
    </row>
    <row r="284" spans="3:3">
      <c r="C284" s="36"/>
    </row>
    <row r="285" spans="3:3">
      <c r="C285" s="36"/>
    </row>
    <row r="286" spans="3:3">
      <c r="C286" s="36"/>
    </row>
    <row r="287" spans="3:3">
      <c r="C287" s="36"/>
    </row>
    <row r="288" spans="3:3">
      <c r="C288" s="36"/>
    </row>
    <row r="289" spans="3:3">
      <c r="C289" s="36"/>
    </row>
    <row r="290" spans="3:3">
      <c r="C290" s="36"/>
    </row>
    <row r="291" spans="3:3">
      <c r="C291" s="36"/>
    </row>
    <row r="292" spans="3:3">
      <c r="C292" s="36"/>
    </row>
    <row r="293" spans="3:3">
      <c r="C293" s="36"/>
    </row>
    <row r="294" spans="3:3">
      <c r="C294" s="36"/>
    </row>
    <row r="295" spans="3:3">
      <c r="C295" s="36"/>
    </row>
    <row r="296" spans="3:3">
      <c r="C296" s="36"/>
    </row>
    <row r="297" spans="3:3">
      <c r="C297" s="36"/>
    </row>
    <row r="298" spans="3:3">
      <c r="C298" s="36"/>
    </row>
    <row r="299" spans="3:3">
      <c r="C299" s="36"/>
    </row>
    <row r="300" spans="3:3">
      <c r="C300" s="36"/>
    </row>
    <row r="301" spans="3:3">
      <c r="C301" s="36"/>
    </row>
    <row r="302" spans="3:3">
      <c r="C302" s="36"/>
    </row>
    <row r="303" spans="3:3">
      <c r="C303" s="36"/>
    </row>
    <row r="304" spans="3:3">
      <c r="C304" s="36"/>
    </row>
    <row r="305" spans="3:3">
      <c r="C305" s="36"/>
    </row>
    <row r="306" spans="3:3">
      <c r="C306" s="36"/>
    </row>
    <row r="307" spans="3:3">
      <c r="C307" s="36"/>
    </row>
    <row r="308" spans="3:3">
      <c r="C308" s="36"/>
    </row>
    <row r="309" spans="3:3">
      <c r="C309" s="36"/>
    </row>
    <row r="310" spans="3:3">
      <c r="C310" s="36"/>
    </row>
    <row r="311" spans="3:3">
      <c r="C311" s="36"/>
    </row>
    <row r="312" spans="3:3">
      <c r="C312" s="36"/>
    </row>
    <row r="313" spans="3:3">
      <c r="C313" s="36"/>
    </row>
    <row r="314" spans="3:3">
      <c r="C314" s="36"/>
    </row>
    <row r="315" spans="3:3">
      <c r="C315" s="36"/>
    </row>
    <row r="316" spans="3:3">
      <c r="C316" s="36"/>
    </row>
    <row r="317" spans="3:3">
      <c r="C317" s="36"/>
    </row>
    <row r="318" spans="3:3">
      <c r="C318" s="36"/>
    </row>
    <row r="319" spans="3:3">
      <c r="C319" s="36"/>
    </row>
    <row r="320" spans="3:3">
      <c r="C320" s="36"/>
    </row>
    <row r="321" spans="3:3">
      <c r="C321" s="36"/>
    </row>
    <row r="322" spans="3:3">
      <c r="C322" s="36"/>
    </row>
    <row r="323" spans="3:3">
      <c r="C323" s="36"/>
    </row>
    <row r="324" spans="3:3">
      <c r="C324" s="36"/>
    </row>
    <row r="325" spans="3:3">
      <c r="C325" s="36"/>
    </row>
    <row r="326" spans="3:3">
      <c r="C326" s="36"/>
    </row>
    <row r="327" spans="3:3">
      <c r="C327" s="36"/>
    </row>
    <row r="328" spans="3:3">
      <c r="C328" s="36"/>
    </row>
    <row r="329" spans="3:3">
      <c r="C329" s="36"/>
    </row>
    <row r="330" spans="3:3">
      <c r="C330" s="36"/>
    </row>
    <row r="331" spans="3:3">
      <c r="C331" s="36"/>
    </row>
    <row r="332" spans="3:3">
      <c r="C332" s="36"/>
    </row>
    <row r="333" spans="3:3">
      <c r="C333" s="36"/>
    </row>
    <row r="334" spans="3:3">
      <c r="C334" s="36"/>
    </row>
    <row r="335" spans="3:3">
      <c r="C335" s="36"/>
    </row>
    <row r="336" spans="3:3">
      <c r="C336" s="36"/>
    </row>
    <row r="337" spans="3:3">
      <c r="C337" s="36"/>
    </row>
    <row r="338" spans="3:3">
      <c r="C338" s="36"/>
    </row>
    <row r="339" spans="3:3">
      <c r="C339" s="36"/>
    </row>
    <row r="340" spans="3:3">
      <c r="C340" s="36"/>
    </row>
    <row r="341" spans="3:3">
      <c r="C341" s="36"/>
    </row>
    <row r="342" spans="3:3">
      <c r="C342" s="36"/>
    </row>
    <row r="343" spans="3:3">
      <c r="C343" s="36"/>
    </row>
    <row r="344" spans="3:3">
      <c r="C344" s="36"/>
    </row>
    <row r="345" spans="3:3">
      <c r="C345" s="36"/>
    </row>
    <row r="346" spans="3:3">
      <c r="C346" s="36"/>
    </row>
    <row r="347" spans="3:3">
      <c r="C347" s="36"/>
    </row>
    <row r="348" spans="3:3">
      <c r="C348" s="36"/>
    </row>
    <row r="349" spans="3:3">
      <c r="C349" s="36"/>
    </row>
    <row r="350" spans="3:3">
      <c r="C350" s="36"/>
    </row>
    <row r="351" spans="3:3">
      <c r="C351" s="36"/>
    </row>
    <row r="352" spans="3:3">
      <c r="C352" s="36"/>
    </row>
    <row r="353" spans="3:3">
      <c r="C353" s="36"/>
    </row>
    <row r="354" spans="3:3">
      <c r="C354" s="36"/>
    </row>
    <row r="355" spans="3:3">
      <c r="C355" s="36"/>
    </row>
    <row r="356" spans="3:3">
      <c r="C356" s="36"/>
    </row>
    <row r="357" spans="3:3">
      <c r="C357" s="36"/>
    </row>
    <row r="358" spans="3:3">
      <c r="C358" s="36"/>
    </row>
    <row r="359" spans="3:3">
      <c r="C359" s="36"/>
    </row>
    <row r="360" spans="3:3">
      <c r="C360" s="36"/>
    </row>
    <row r="361" spans="3:3">
      <c r="C361" s="36"/>
    </row>
    <row r="362" spans="3:3">
      <c r="C362" s="36"/>
    </row>
    <row r="363" spans="3:3">
      <c r="C363" s="36"/>
    </row>
    <row r="364" spans="3:3">
      <c r="C364" s="36"/>
    </row>
    <row r="365" spans="3:3">
      <c r="C365" s="36"/>
    </row>
    <row r="366" spans="3:3">
      <c r="C366" s="36"/>
    </row>
    <row r="367" spans="3:3">
      <c r="C367" s="36"/>
    </row>
    <row r="368" spans="3:3">
      <c r="C368" s="36"/>
    </row>
    <row r="369" spans="3:3">
      <c r="C369" s="36"/>
    </row>
    <row r="370" spans="3:3">
      <c r="C370" s="36"/>
    </row>
    <row r="371" spans="3:3">
      <c r="C371" s="36"/>
    </row>
    <row r="372" spans="3:3">
      <c r="C372" s="36"/>
    </row>
    <row r="373" spans="3:3">
      <c r="C373" s="36"/>
    </row>
    <row r="374" spans="3:3">
      <c r="C374" s="36"/>
    </row>
    <row r="375" spans="3:3">
      <c r="C375" s="36"/>
    </row>
    <row r="376" spans="3:3">
      <c r="C376" s="36"/>
    </row>
    <row r="377" spans="3:3">
      <c r="C377" s="36"/>
    </row>
    <row r="378" spans="3:3">
      <c r="C378" s="36"/>
    </row>
    <row r="379" spans="3:3">
      <c r="C379" s="36"/>
    </row>
    <row r="380" spans="3:3">
      <c r="C380" s="36"/>
    </row>
    <row r="381" spans="3:3">
      <c r="C381" s="36"/>
    </row>
    <row r="382" spans="3:3">
      <c r="C382" s="36"/>
    </row>
    <row r="383" spans="3:3">
      <c r="C383" s="36"/>
    </row>
    <row r="384" spans="3:3">
      <c r="C384" s="36"/>
    </row>
    <row r="385" spans="3:3">
      <c r="C385" s="36"/>
    </row>
    <row r="386" spans="3:3">
      <c r="C386" s="36"/>
    </row>
    <row r="387" spans="3:3">
      <c r="C387" s="36"/>
    </row>
    <row r="388" spans="3:3">
      <c r="C388" s="36"/>
    </row>
    <row r="389" spans="3:3">
      <c r="C389" s="36"/>
    </row>
    <row r="390" spans="3:3">
      <c r="C390" s="36"/>
    </row>
    <row r="391" spans="3:3">
      <c r="C391" s="36"/>
    </row>
    <row r="392" spans="3:3">
      <c r="C392" s="36"/>
    </row>
    <row r="393" spans="3:3">
      <c r="C393" s="36"/>
    </row>
    <row r="394" spans="3:3">
      <c r="C394" s="36"/>
    </row>
    <row r="395" spans="3:3">
      <c r="C395" s="36"/>
    </row>
    <row r="396" spans="3:3">
      <c r="C396" s="36"/>
    </row>
    <row r="397" spans="3:3">
      <c r="C397" s="36"/>
    </row>
    <row r="398" spans="3:3">
      <c r="C398" s="36"/>
    </row>
    <row r="399" spans="3:3">
      <c r="C399" s="36"/>
    </row>
    <row r="400" spans="3:3">
      <c r="C400" s="36"/>
    </row>
    <row r="401" spans="3:3">
      <c r="C401" s="36"/>
    </row>
    <row r="402" spans="3:3">
      <c r="C402" s="36"/>
    </row>
    <row r="403" spans="3:3">
      <c r="C403" s="36"/>
    </row>
    <row r="404" spans="3:3">
      <c r="C404" s="36"/>
    </row>
    <row r="405" spans="3:3">
      <c r="C405" s="36"/>
    </row>
    <row r="406" spans="3:3">
      <c r="C406" s="36"/>
    </row>
    <row r="407" spans="3:3">
      <c r="C407" s="36"/>
    </row>
    <row r="408" spans="3:3">
      <c r="C408" s="36"/>
    </row>
    <row r="409" spans="3:3">
      <c r="C409" s="36"/>
    </row>
    <row r="410" spans="3:3">
      <c r="C410" s="36"/>
    </row>
    <row r="411" spans="3:3">
      <c r="C411" s="36"/>
    </row>
    <row r="412" spans="3:3">
      <c r="C412" s="36"/>
    </row>
    <row r="413" spans="3:3">
      <c r="C413" s="36"/>
    </row>
    <row r="414" spans="3:3">
      <c r="C414" s="36"/>
    </row>
    <row r="415" spans="3:3">
      <c r="C415" s="36"/>
    </row>
    <row r="416" spans="3:3">
      <c r="C416" s="36"/>
    </row>
    <row r="417" spans="3:3">
      <c r="C417" s="36"/>
    </row>
    <row r="418" spans="3:3">
      <c r="C418" s="36"/>
    </row>
    <row r="419" spans="3:3">
      <c r="C419" s="36"/>
    </row>
    <row r="420" spans="3:3">
      <c r="C420" s="36"/>
    </row>
    <row r="421" spans="3:3">
      <c r="C421" s="36"/>
    </row>
    <row r="422" spans="3:3">
      <c r="C422" s="36"/>
    </row>
    <row r="423" spans="3:3">
      <c r="C423" s="36"/>
    </row>
    <row r="424" spans="3:3">
      <c r="C424" s="36"/>
    </row>
    <row r="425" spans="3:3">
      <c r="C425" s="36"/>
    </row>
    <row r="426" spans="3:3">
      <c r="C426" s="36"/>
    </row>
    <row r="427" spans="3:3">
      <c r="C427" s="36"/>
    </row>
    <row r="428" spans="3:3">
      <c r="C428" s="36"/>
    </row>
    <row r="429" spans="3:3">
      <c r="C429" s="36"/>
    </row>
    <row r="430" spans="3:3">
      <c r="C430" s="36"/>
    </row>
    <row r="431" spans="3:3">
      <c r="C431" s="36"/>
    </row>
    <row r="432" spans="3:3">
      <c r="C432" s="36"/>
    </row>
    <row r="433" spans="3:3">
      <c r="C433" s="36"/>
    </row>
    <row r="434" spans="3:3">
      <c r="C434" s="36"/>
    </row>
    <row r="435" spans="3:3">
      <c r="C435" s="36"/>
    </row>
    <row r="436" spans="3:3">
      <c r="C436" s="36"/>
    </row>
    <row r="437" spans="3:3">
      <c r="C437" s="36"/>
    </row>
    <row r="438" spans="3:3">
      <c r="C438" s="36"/>
    </row>
    <row r="439" spans="3:3">
      <c r="C439" s="36"/>
    </row>
    <row r="440" spans="3:3">
      <c r="C440" s="36"/>
    </row>
    <row r="441" spans="3:3">
      <c r="C441" s="36"/>
    </row>
    <row r="442" spans="3:3">
      <c r="C442" s="36"/>
    </row>
    <row r="443" spans="3:3">
      <c r="C443" s="36"/>
    </row>
    <row r="444" spans="3:3">
      <c r="C444" s="36"/>
    </row>
    <row r="445" spans="3:3">
      <c r="C445" s="36"/>
    </row>
    <row r="446" spans="3:3">
      <c r="C446" s="36"/>
    </row>
    <row r="447" spans="3:3">
      <c r="C447" s="36"/>
    </row>
    <row r="448" spans="3:3">
      <c r="C448" s="36"/>
    </row>
    <row r="449" spans="3:3">
      <c r="C449" s="36"/>
    </row>
    <row r="450" spans="3:3">
      <c r="C450" s="36"/>
    </row>
    <row r="451" spans="3:3">
      <c r="C451" s="36"/>
    </row>
    <row r="452" spans="3:3">
      <c r="C452" s="36"/>
    </row>
    <row r="453" spans="3:3">
      <c r="C453" s="36"/>
    </row>
    <row r="454" spans="3:3">
      <c r="C454" s="36"/>
    </row>
    <row r="455" spans="3:3">
      <c r="C455" s="36"/>
    </row>
    <row r="456" spans="3:3">
      <c r="C456" s="36"/>
    </row>
  </sheetData>
  <mergeCells count="2">
    <mergeCell ref="A41:C41"/>
    <mergeCell ref="A84:C84"/>
  </mergeCells>
  <phoneticPr fontId="2" type="noConversion"/>
  <conditionalFormatting sqref="D67:D68 D70 D74 D64:D65 E65 D62 D34 D51:D60 D30:D32 D17:D20 D15 D7:D13 D22:D27">
    <cfRule type="cellIs" dxfId="4" priority="1" stopIfTrue="1" operator="equal">
      <formula>"Yes"</formula>
    </cfRule>
    <cfRule type="cellIs" dxfId="3" priority="2" stopIfTrue="1" operator="equal">
      <formula>"No"</formula>
    </cfRule>
  </conditionalFormatting>
  <conditionalFormatting sqref="E64 E67:E68 E70 E62 E51:E60 E30:E32 E74 E34 E7:E13 E15 E17:E19 E22:E27">
    <cfRule type="cellIs" dxfId="2" priority="3" stopIfTrue="1" operator="equal">
      <formula>"Yes"</formula>
    </cfRule>
    <cfRule type="cellIs" dxfId="1" priority="4" stopIfTrue="1" operator="equal">
      <formula>"No"</formula>
    </cfRule>
    <cfRule type="cellIs" dxfId="0" priority="5" stopIfTrue="1" operator="equal">
      <formula>"I'll Investigate"</formula>
    </cfRule>
  </conditionalFormatting>
  <dataValidations count="2">
    <dataValidation type="list" allowBlank="1" showInputMessage="1" showErrorMessage="1" sqref="D74 D67:D68 D70 D64:D65 E65 D62 D34 D51:D60 D30:D32 D17:D19 D22:D28 D15 D7:D13">
      <formula1>"Yes,No"</formula1>
    </dataValidation>
    <dataValidation type="list" allowBlank="1" showInputMessage="1" showErrorMessage="1" sqref="E64 E67:E68 E70 E62 E51:E60 E30:E32 E74 E34 E7:E13 E22:E27 E15 E17:E19">
      <formula1>"Yes,No,Investigate,Not possible"</formula1>
    </dataValidation>
  </dataValidations>
  <pageMargins left="0.75" right="0.75" top="1" bottom="1" header="0.5" footer="0.5"/>
  <pageSetup paperSize="9" orientation="portrait"/>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E40" sqref="E40"/>
    </sheetView>
  </sheetViews>
  <sheetFormatPr defaultColWidth="8.81640625" defaultRowHeight="12.5"/>
  <sheetData>
    <row r="1" spans="1:4">
      <c r="A1" t="s">
        <v>442</v>
      </c>
    </row>
    <row r="2" spans="1:4">
      <c r="A2" t="s">
        <v>443</v>
      </c>
    </row>
    <row r="3" spans="1:4">
      <c r="A3" t="s">
        <v>444</v>
      </c>
      <c r="B3" t="s">
        <v>445</v>
      </c>
      <c r="C3" t="s">
        <v>446</v>
      </c>
      <c r="D3" t="s">
        <v>447</v>
      </c>
    </row>
    <row r="4" spans="1:4">
      <c r="A4" t="s">
        <v>34</v>
      </c>
      <c r="B4" t="s">
        <v>449</v>
      </c>
      <c r="C4" t="s">
        <v>453</v>
      </c>
    </row>
    <row r="5" spans="1:4">
      <c r="A5" t="s">
        <v>34</v>
      </c>
      <c r="B5" t="s">
        <v>449</v>
      </c>
      <c r="C5" t="s">
        <v>454</v>
      </c>
    </row>
    <row r="6" spans="1:4">
      <c r="A6" t="s">
        <v>34</v>
      </c>
      <c r="B6" t="s">
        <v>449</v>
      </c>
    </row>
    <row r="7" spans="1:4">
      <c r="A7" t="s">
        <v>34</v>
      </c>
      <c r="B7" t="s">
        <v>450</v>
      </c>
    </row>
    <row r="8" spans="1:4">
      <c r="A8" t="s">
        <v>34</v>
      </c>
      <c r="B8" t="s">
        <v>450</v>
      </c>
    </row>
    <row r="9" spans="1:4">
      <c r="A9" t="s">
        <v>34</v>
      </c>
      <c r="B9" t="s">
        <v>450</v>
      </c>
    </row>
    <row r="10" spans="1:4">
      <c r="A10" t="s">
        <v>34</v>
      </c>
      <c r="B10" t="s">
        <v>451</v>
      </c>
    </row>
    <row r="11" spans="1:4">
      <c r="A11" t="s">
        <v>34</v>
      </c>
      <c r="B11" t="s">
        <v>451</v>
      </c>
    </row>
    <row r="12" spans="1:4">
      <c r="A12" t="s">
        <v>34</v>
      </c>
      <c r="B12" t="s">
        <v>452</v>
      </c>
    </row>
    <row r="13" spans="1:4">
      <c r="A13" t="s">
        <v>34</v>
      </c>
      <c r="B13" t="s">
        <v>452</v>
      </c>
    </row>
    <row r="14" spans="1:4">
      <c r="A14" t="s">
        <v>448</v>
      </c>
      <c r="B14" t="s">
        <v>449</v>
      </c>
    </row>
    <row r="15" spans="1:4">
      <c r="A15" t="s">
        <v>448</v>
      </c>
      <c r="B15" t="s">
        <v>449</v>
      </c>
    </row>
    <row r="16" spans="1:4">
      <c r="A16" t="s">
        <v>448</v>
      </c>
      <c r="B16" t="s">
        <v>449</v>
      </c>
    </row>
    <row r="18" spans="1:1">
      <c r="A18" t="s">
        <v>455</v>
      </c>
    </row>
  </sheetData>
  <phoneticPr fontId="2"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2"/>
  <sheetViews>
    <sheetView topLeftCell="A16" workbookViewId="0">
      <selection activeCell="C10" sqref="C10"/>
    </sheetView>
  </sheetViews>
  <sheetFormatPr defaultColWidth="8.81640625" defaultRowHeight="12.5"/>
  <cols>
    <col min="1" max="1" width="29.81640625" customWidth="1"/>
    <col min="2" max="2" width="12.453125" customWidth="1"/>
    <col min="3" max="3" width="12.1796875" customWidth="1"/>
    <col min="4" max="4" width="12.81640625" customWidth="1"/>
    <col min="5" max="5" width="9.453125" bestFit="1" customWidth="1"/>
    <col min="6" max="6" width="9.36328125" bestFit="1" customWidth="1"/>
    <col min="7" max="7" width="9.453125" bestFit="1" customWidth="1"/>
    <col min="8" max="8" width="11.453125" bestFit="1" customWidth="1"/>
    <col min="12" max="12" width="14.1796875" customWidth="1"/>
  </cols>
  <sheetData>
    <row r="1" spans="1:12" ht="18">
      <c r="A1" s="190" t="s">
        <v>167</v>
      </c>
    </row>
    <row r="2" spans="1:12" ht="13">
      <c r="A2" s="19"/>
    </row>
    <row r="3" spans="1:12" ht="15.5">
      <c r="A3" s="97" t="s">
        <v>61</v>
      </c>
    </row>
    <row r="4" spans="1:12" ht="15.5">
      <c r="A4" s="97"/>
    </row>
    <row r="5" spans="1:12" ht="13">
      <c r="A5" s="19" t="s">
        <v>563</v>
      </c>
    </row>
    <row r="6" spans="1:12" ht="13">
      <c r="A6" s="66" t="s">
        <v>49</v>
      </c>
      <c r="B6" s="56" t="s">
        <v>93</v>
      </c>
      <c r="C6" s="56" t="s">
        <v>94</v>
      </c>
      <c r="D6" s="56" t="s">
        <v>3</v>
      </c>
    </row>
    <row r="7" spans="1:12">
      <c r="A7" s="56" t="s">
        <v>48</v>
      </c>
      <c r="B7" s="56" t="s">
        <v>51</v>
      </c>
      <c r="C7" s="56" t="s">
        <v>52</v>
      </c>
      <c r="D7" s="56">
        <v>1.609</v>
      </c>
    </row>
    <row r="8" spans="1:12">
      <c r="A8" s="47"/>
      <c r="B8" s="47"/>
      <c r="C8" s="47"/>
      <c r="D8" s="47"/>
    </row>
    <row r="9" spans="1:12" ht="13">
      <c r="A9" s="80" t="s">
        <v>564</v>
      </c>
      <c r="B9" s="47"/>
      <c r="C9" s="47"/>
      <c r="D9" s="47"/>
    </row>
    <row r="10" spans="1:12" ht="13">
      <c r="A10" s="71" t="s">
        <v>473</v>
      </c>
      <c r="B10" s="56" t="s">
        <v>4</v>
      </c>
      <c r="C10" s="56" t="s">
        <v>3</v>
      </c>
      <c r="D10" s="47"/>
    </row>
    <row r="11" spans="1:12" ht="13">
      <c r="A11" s="71" t="s">
        <v>474</v>
      </c>
      <c r="B11" s="72">
        <v>0.15</v>
      </c>
      <c r="C11" s="56">
        <v>1.1499999999999999</v>
      </c>
      <c r="D11" s="47"/>
    </row>
    <row r="12" spans="1:12">
      <c r="A12" s="47"/>
      <c r="B12" s="47"/>
      <c r="C12" s="47"/>
      <c r="D12" s="47"/>
    </row>
    <row r="13" spans="1:12">
      <c r="A13" s="47"/>
      <c r="B13" s="47"/>
      <c r="C13" s="47"/>
      <c r="D13" s="47"/>
    </row>
    <row r="14" spans="1:12" ht="13">
      <c r="A14" s="80" t="s">
        <v>346</v>
      </c>
      <c r="B14" s="47"/>
      <c r="C14" s="47"/>
      <c r="D14" s="47"/>
    </row>
    <row r="15" spans="1:12" ht="25">
      <c r="A15" s="66" t="s">
        <v>496</v>
      </c>
      <c r="B15" s="206" t="s">
        <v>5</v>
      </c>
      <c r="C15" s="47"/>
      <c r="D15" s="47"/>
      <c r="E15" s="95"/>
      <c r="F15" s="95"/>
      <c r="G15" s="95"/>
      <c r="H15" s="95"/>
      <c r="I15" s="95"/>
      <c r="J15" s="95"/>
      <c r="K15" s="95"/>
      <c r="L15" s="95"/>
    </row>
    <row r="16" spans="1:12" ht="15.5">
      <c r="A16" s="56" t="s">
        <v>376</v>
      </c>
      <c r="B16" s="188">
        <v>0.39400000000000002</v>
      </c>
      <c r="C16" s="47" t="s">
        <v>839</v>
      </c>
      <c r="D16" s="47"/>
      <c r="E16" s="95"/>
      <c r="F16" s="95"/>
      <c r="G16" s="95"/>
      <c r="H16" s="95"/>
      <c r="I16" s="95"/>
      <c r="J16" s="96"/>
      <c r="K16" s="96"/>
      <c r="L16" s="226"/>
    </row>
    <row r="17" spans="1:12" ht="15.5">
      <c r="A17" s="56" t="s">
        <v>7</v>
      </c>
      <c r="B17" s="188">
        <v>0.36</v>
      </c>
      <c r="C17" s="47"/>
      <c r="D17" s="47"/>
      <c r="E17" s="95"/>
      <c r="F17" s="95"/>
      <c r="G17" s="95"/>
      <c r="H17" s="95"/>
      <c r="I17" s="95"/>
      <c r="J17" s="96"/>
      <c r="K17" s="96"/>
      <c r="L17" s="226"/>
    </row>
    <row r="18" spans="1:12" ht="15.5">
      <c r="A18" s="56" t="s">
        <v>8</v>
      </c>
      <c r="B18" s="188">
        <v>3.5000000000000003E-2</v>
      </c>
      <c r="C18" s="47"/>
      <c r="D18" s="47"/>
      <c r="E18" s="95"/>
      <c r="F18" s="95"/>
      <c r="G18" s="95"/>
      <c r="H18" s="95"/>
      <c r="I18" s="95"/>
      <c r="J18" s="96"/>
      <c r="K18" s="96"/>
      <c r="L18" s="226"/>
    </row>
    <row r="19" spans="1:12" ht="15.5">
      <c r="A19" s="56" t="s">
        <v>494</v>
      </c>
      <c r="B19" s="188">
        <v>0.43099999999999999</v>
      </c>
      <c r="C19" s="47"/>
      <c r="D19" s="47"/>
      <c r="E19" s="95"/>
      <c r="F19" s="95"/>
      <c r="G19" s="95"/>
      <c r="H19" s="95"/>
      <c r="I19" s="96"/>
      <c r="J19" s="96"/>
      <c r="K19" s="96"/>
      <c r="L19" s="226"/>
    </row>
    <row r="20" spans="1:12" ht="15.5">
      <c r="A20" s="67" t="s">
        <v>227</v>
      </c>
      <c r="B20" s="188">
        <v>0</v>
      </c>
      <c r="C20" s="47"/>
      <c r="D20" s="47"/>
      <c r="E20" s="95"/>
      <c r="F20" s="95"/>
      <c r="G20" s="95"/>
      <c r="H20" s="95"/>
      <c r="I20" s="95"/>
      <c r="J20" s="96"/>
      <c r="K20" s="96"/>
      <c r="L20" s="226"/>
    </row>
    <row r="21" spans="1:12" ht="15.5">
      <c r="A21" s="56" t="s">
        <v>9</v>
      </c>
      <c r="B21" s="188">
        <v>0.30299999999999999</v>
      </c>
      <c r="C21" s="47"/>
      <c r="D21" s="47"/>
      <c r="E21" s="95"/>
      <c r="F21" s="95"/>
      <c r="G21" s="95"/>
      <c r="H21" s="95"/>
      <c r="I21" s="95"/>
      <c r="J21" s="96"/>
      <c r="K21" s="96"/>
      <c r="L21" s="226"/>
    </row>
    <row r="22" spans="1:12" ht="15.5">
      <c r="A22" s="56" t="s">
        <v>495</v>
      </c>
      <c r="B22" s="188">
        <v>0.498</v>
      </c>
      <c r="C22" s="47"/>
      <c r="D22" s="47"/>
    </row>
    <row r="23" spans="1:12">
      <c r="A23" s="47"/>
      <c r="B23" s="47"/>
      <c r="C23" s="47"/>
      <c r="D23" s="47"/>
    </row>
    <row r="24" spans="1:12">
      <c r="A24" s="47"/>
      <c r="B24" s="47"/>
      <c r="C24" s="47"/>
      <c r="D24" s="47"/>
    </row>
    <row r="25" spans="1:12" ht="13">
      <c r="A25" s="80" t="s">
        <v>347</v>
      </c>
      <c r="B25" t="s">
        <v>642</v>
      </c>
    </row>
    <row r="26" spans="1:12" ht="25">
      <c r="A26" s="66" t="s">
        <v>465</v>
      </c>
      <c r="B26" s="68" t="s">
        <v>470</v>
      </c>
      <c r="C26" s="238" t="s">
        <v>466</v>
      </c>
      <c r="D26" s="68" t="s">
        <v>468</v>
      </c>
      <c r="E26" s="68" t="s">
        <v>108</v>
      </c>
      <c r="F26" s="19" t="s">
        <v>469</v>
      </c>
    </row>
    <row r="27" spans="1:12" ht="15.5">
      <c r="A27" s="67" t="s">
        <v>785</v>
      </c>
      <c r="B27" s="56" t="s">
        <v>425</v>
      </c>
      <c r="C27" s="56" t="s">
        <v>467</v>
      </c>
      <c r="D27" s="56">
        <v>4.6780000000000002E-2</v>
      </c>
      <c r="E27" s="56">
        <f>D27*$D$7</f>
        <v>7.5269020000000006E-2</v>
      </c>
      <c r="F27" s="19" t="s">
        <v>6</v>
      </c>
    </row>
    <row r="28" spans="1:12" ht="15.5">
      <c r="A28" s="67" t="s">
        <v>786</v>
      </c>
      <c r="B28" s="56" t="s">
        <v>425</v>
      </c>
      <c r="C28" s="56" t="s">
        <v>467</v>
      </c>
      <c r="D28" s="56">
        <v>0.15617</v>
      </c>
      <c r="E28" s="56">
        <f t="shared" ref="E28:E38" si="0">D28*$D$7</f>
        <v>0.25127753000000003</v>
      </c>
      <c r="F28" s="211"/>
    </row>
    <row r="29" spans="1:12" ht="15.5">
      <c r="A29" s="67" t="s">
        <v>787</v>
      </c>
      <c r="B29" s="56" t="s">
        <v>425</v>
      </c>
      <c r="C29" s="56" t="s">
        <v>467</v>
      </c>
      <c r="D29" s="56">
        <v>0.21337</v>
      </c>
      <c r="E29" s="56">
        <f t="shared" si="0"/>
        <v>0.34331233</v>
      </c>
      <c r="F29" s="80" t="s">
        <v>230</v>
      </c>
    </row>
    <row r="30" spans="1:12" ht="15.5">
      <c r="A30" s="67" t="s">
        <v>788</v>
      </c>
      <c r="B30" s="56" t="s">
        <v>425</v>
      </c>
      <c r="C30" s="56" t="s">
        <v>467</v>
      </c>
      <c r="D30" s="56">
        <v>0.12259</v>
      </c>
      <c r="E30" s="56">
        <f t="shared" si="0"/>
        <v>0.19724731000000001</v>
      </c>
      <c r="F30" s="619" t="s">
        <v>840</v>
      </c>
    </row>
    <row r="31" spans="1:12" ht="15.5">
      <c r="A31" s="67" t="s">
        <v>789</v>
      </c>
      <c r="B31" s="56" t="s">
        <v>425</v>
      </c>
      <c r="C31" s="56" t="s">
        <v>467</v>
      </c>
      <c r="D31" s="56">
        <v>7.2700000000000001E-2</v>
      </c>
      <c r="E31" s="56">
        <f t="shared" si="0"/>
        <v>0.1169743</v>
      </c>
    </row>
    <row r="32" spans="1:12" ht="15.5">
      <c r="A32" s="67" t="s">
        <v>239</v>
      </c>
      <c r="B32" s="56" t="s">
        <v>425</v>
      </c>
      <c r="C32" s="56" t="s">
        <v>467</v>
      </c>
      <c r="D32" s="56">
        <v>2.7799999999999998E-2</v>
      </c>
      <c r="E32" s="56">
        <f t="shared" si="0"/>
        <v>4.4730199999999998E-2</v>
      </c>
    </row>
    <row r="33" spans="1:7" ht="15.5">
      <c r="A33" s="67" t="s">
        <v>424</v>
      </c>
      <c r="B33" s="56" t="s">
        <v>425</v>
      </c>
      <c r="C33" s="56" t="s">
        <v>467</v>
      </c>
      <c r="D33" s="624">
        <v>1.8E-3</v>
      </c>
      <c r="E33" s="56">
        <f t="shared" si="0"/>
        <v>2.8961999999999998E-3</v>
      </c>
      <c r="F33" t="s">
        <v>842</v>
      </c>
      <c r="G33" s="63">
        <v>43074</v>
      </c>
    </row>
    <row r="34" spans="1:7" ht="15.5">
      <c r="A34" s="67" t="s">
        <v>260</v>
      </c>
      <c r="B34" s="56" t="s">
        <v>425</v>
      </c>
      <c r="C34" s="56" t="s">
        <v>467</v>
      </c>
      <c r="D34" s="56">
        <v>1.225E-2</v>
      </c>
      <c r="E34" s="56">
        <f t="shared" si="0"/>
        <v>1.9710250000000002E-2</v>
      </c>
    </row>
    <row r="35" spans="1:7" ht="15.5">
      <c r="A35" s="67" t="s">
        <v>790</v>
      </c>
      <c r="B35" s="56" t="s">
        <v>425</v>
      </c>
      <c r="C35" s="56" t="s">
        <v>467</v>
      </c>
      <c r="D35" s="56">
        <v>4.6739999999999997E-2</v>
      </c>
      <c r="E35" s="56">
        <f t="shared" si="0"/>
        <v>7.5204659999999993E-2</v>
      </c>
    </row>
    <row r="36" spans="1:7" ht="15.5">
      <c r="A36" s="67" t="s">
        <v>791</v>
      </c>
      <c r="B36" s="56" t="s">
        <v>425</v>
      </c>
      <c r="C36" s="56" t="s">
        <v>467</v>
      </c>
      <c r="D36" s="623">
        <v>1.9279999999999999E-2</v>
      </c>
      <c r="E36" s="56">
        <f t="shared" si="0"/>
        <v>3.1021519999999997E-2</v>
      </c>
      <c r="F36" s="103"/>
      <c r="G36" s="47"/>
    </row>
    <row r="37" spans="1:7" ht="15.5">
      <c r="A37" s="67" t="s">
        <v>792</v>
      </c>
      <c r="B37" s="56" t="s">
        <v>425</v>
      </c>
      <c r="C37" s="56" t="s">
        <v>467</v>
      </c>
      <c r="D37" s="623">
        <v>0.13325000000000001</v>
      </c>
      <c r="E37" s="56">
        <f t="shared" si="0"/>
        <v>0.21439925000000001</v>
      </c>
    </row>
    <row r="38" spans="1:7">
      <c r="A38" s="67" t="str">
        <f>A62</f>
        <v>Pool car (eg zipcar)</v>
      </c>
      <c r="B38" s="56" t="s">
        <v>425</v>
      </c>
      <c r="C38" s="56" t="s">
        <v>602</v>
      </c>
      <c r="D38" s="620">
        <f>0.129</f>
        <v>0.129</v>
      </c>
      <c r="E38" s="56">
        <f t="shared" si="0"/>
        <v>0.207561</v>
      </c>
      <c r="F38" s="104" t="s">
        <v>154</v>
      </c>
    </row>
    <row r="39" spans="1:7">
      <c r="A39" s="81"/>
      <c r="B39" s="47"/>
      <c r="C39" s="47"/>
      <c r="D39" s="47"/>
    </row>
    <row r="40" spans="1:7" ht="13">
      <c r="A40" s="80" t="s">
        <v>565</v>
      </c>
    </row>
    <row r="41" spans="1:7" ht="52.5" customHeight="1">
      <c r="A41" s="66" t="s">
        <v>33</v>
      </c>
      <c r="B41" s="69" t="s">
        <v>471</v>
      </c>
      <c r="C41" s="69" t="s">
        <v>464</v>
      </c>
      <c r="D41" s="69" t="s">
        <v>229</v>
      </c>
      <c r="E41" s="70" t="s">
        <v>472</v>
      </c>
    </row>
    <row r="42" spans="1:7">
      <c r="A42" s="67" t="str">
        <f>'Q travel'!J156</f>
        <v>Domestic - average</v>
      </c>
      <c r="B42" s="622">
        <v>0.26744000000000001</v>
      </c>
      <c r="C42" s="56">
        <v>1.9</v>
      </c>
      <c r="D42" s="56">
        <v>1.0900000000000001</v>
      </c>
      <c r="E42" s="56">
        <f>B42*C42</f>
        <v>0.50813600000000003</v>
      </c>
      <c r="G42" s="618" t="s">
        <v>841</v>
      </c>
    </row>
    <row r="43" spans="1:7">
      <c r="A43" s="67" t="str">
        <f>'Q travel'!J157</f>
        <v>Short haul - economy</v>
      </c>
      <c r="B43" s="622">
        <v>0.15845000000000001</v>
      </c>
      <c r="C43" s="56">
        <v>1.9</v>
      </c>
      <c r="D43" s="56">
        <v>1.0900000000000001</v>
      </c>
      <c r="E43" s="56">
        <f t="shared" ref="E43:E48" si="1">B43*C43</f>
        <v>0.30105500000000002</v>
      </c>
    </row>
    <row r="44" spans="1:7">
      <c r="A44" s="67" t="str">
        <f>'Q travel'!J158</f>
        <v>Short haul - first/business</v>
      </c>
      <c r="B44" s="622">
        <v>0.23766999999999999</v>
      </c>
      <c r="C44" s="56">
        <v>1.9</v>
      </c>
      <c r="D44" s="56">
        <v>1.0900000000000001</v>
      </c>
      <c r="E44" s="56">
        <f t="shared" si="1"/>
        <v>0.45157299999999995</v>
      </c>
    </row>
    <row r="45" spans="1:7">
      <c r="A45" s="67" t="str">
        <f>'Q travel'!J159</f>
        <v>Long haul - economy</v>
      </c>
      <c r="B45" s="622">
        <v>0.15118999999999999</v>
      </c>
      <c r="C45" s="56">
        <v>1.9</v>
      </c>
      <c r="D45" s="56">
        <v>1.0900000000000001</v>
      </c>
      <c r="E45" s="56">
        <f t="shared" si="1"/>
        <v>0.28726099999999999</v>
      </c>
    </row>
    <row r="46" spans="1:7">
      <c r="A46" s="67" t="str">
        <f>'Q travel'!J160</f>
        <v>Long haul - economy+</v>
      </c>
      <c r="B46" s="622">
        <v>0.24188999999999999</v>
      </c>
      <c r="C46" s="56">
        <v>1.9</v>
      </c>
      <c r="D46" s="56">
        <v>1.0900000000000001</v>
      </c>
      <c r="E46" s="56">
        <f t="shared" si="1"/>
        <v>0.45959099999999997</v>
      </c>
    </row>
    <row r="47" spans="1:7">
      <c r="A47" s="67" t="str">
        <f>'Q travel'!J161</f>
        <v>Long haul - business</v>
      </c>
      <c r="B47" s="622">
        <v>0.43842999999999999</v>
      </c>
      <c r="C47" s="56">
        <v>1.9</v>
      </c>
      <c r="D47" s="56">
        <v>1.0900000000000001</v>
      </c>
      <c r="E47" s="56">
        <f t="shared" si="1"/>
        <v>0.8330169999999999</v>
      </c>
    </row>
    <row r="48" spans="1:7">
      <c r="A48" s="67" t="str">
        <f>'Q travel'!J162</f>
        <v>Long haul - first class</v>
      </c>
      <c r="B48" s="622">
        <v>0.60472999999999999</v>
      </c>
      <c r="C48" s="56">
        <v>1.9</v>
      </c>
      <c r="D48" s="56">
        <v>1.0900000000000001</v>
      </c>
      <c r="E48" s="56">
        <f t="shared" si="1"/>
        <v>1.148987</v>
      </c>
    </row>
    <row r="49" spans="1:5">
      <c r="A49" s="81"/>
      <c r="B49" s="82"/>
      <c r="C49" s="47"/>
      <c r="D49" s="47"/>
      <c r="E49" s="47"/>
    </row>
    <row r="50" spans="1:5" ht="13">
      <c r="A50" s="19" t="s">
        <v>566</v>
      </c>
    </row>
    <row r="51" spans="1:5" ht="25.5" customHeight="1">
      <c r="A51" s="66" t="s">
        <v>539</v>
      </c>
      <c r="B51" s="56"/>
      <c r="C51" s="87" t="s">
        <v>640</v>
      </c>
    </row>
    <row r="52" spans="1:5">
      <c r="A52" s="56" t="s">
        <v>781</v>
      </c>
      <c r="B52" s="73"/>
      <c r="C52" s="622">
        <v>0.15648999999999999</v>
      </c>
    </row>
    <row r="53" spans="1:5">
      <c r="A53" s="56" t="s">
        <v>782</v>
      </c>
      <c r="B53" s="73"/>
      <c r="C53" s="622">
        <v>0.19489999999999999</v>
      </c>
    </row>
    <row r="54" spans="1:5">
      <c r="A54" s="56" t="s">
        <v>540</v>
      </c>
      <c r="B54" s="73"/>
      <c r="C54" s="622">
        <v>0.28538999999999998</v>
      </c>
      <c r="E54" t="s">
        <v>841</v>
      </c>
    </row>
    <row r="55" spans="1:5">
      <c r="A55" s="56" t="s">
        <v>541</v>
      </c>
      <c r="B55" s="73"/>
      <c r="C55" s="622">
        <v>0.14545</v>
      </c>
    </row>
    <row r="56" spans="1:5">
      <c r="A56" s="56" t="s">
        <v>783</v>
      </c>
      <c r="B56" s="73"/>
      <c r="C56" s="622">
        <v>0.17380000000000001</v>
      </c>
      <c r="E56" s="101"/>
    </row>
    <row r="57" spans="1:5">
      <c r="A57" s="56" t="s">
        <v>784</v>
      </c>
      <c r="B57" s="73"/>
      <c r="C57" s="622">
        <v>0.21834000000000001</v>
      </c>
    </row>
    <row r="58" spans="1:5">
      <c r="A58" s="56" t="s">
        <v>542</v>
      </c>
      <c r="B58" s="73"/>
      <c r="C58" s="622">
        <v>0.11108999999999999</v>
      </c>
    </row>
    <row r="59" spans="1:5">
      <c r="A59" s="56" t="s">
        <v>543</v>
      </c>
      <c r="B59" s="73"/>
      <c r="C59" s="622">
        <v>0.12895000000000001</v>
      </c>
    </row>
    <row r="60" spans="1:5">
      <c r="A60" s="56" t="s">
        <v>544</v>
      </c>
      <c r="B60" s="73"/>
      <c r="C60" s="622">
        <v>0.18254999999999999</v>
      </c>
    </row>
    <row r="61" spans="1:5">
      <c r="A61" s="56" t="s">
        <v>545</v>
      </c>
      <c r="B61" s="73"/>
      <c r="C61" s="622">
        <v>0.26829999999999998</v>
      </c>
    </row>
    <row r="62" spans="1:5">
      <c r="A62" s="56" t="str">
        <f>A99</f>
        <v>Pool car (eg zipcar)</v>
      </c>
      <c r="B62" s="56"/>
      <c r="C62" s="621">
        <f>E38</f>
        <v>0.207561</v>
      </c>
      <c r="D62" s="104" t="s">
        <v>154</v>
      </c>
    </row>
    <row r="64" spans="1:5" ht="15.5">
      <c r="A64" s="97" t="s">
        <v>62</v>
      </c>
    </row>
    <row r="65" spans="1:14" ht="13">
      <c r="A65" s="19"/>
    </row>
    <row r="66" spans="1:14" s="115" customFormat="1" ht="15.5">
      <c r="A66" s="97" t="s">
        <v>11</v>
      </c>
      <c r="K66"/>
      <c r="L66"/>
      <c r="M66"/>
      <c r="N66"/>
    </row>
    <row r="67" spans="1:14" s="115" customFormat="1" ht="15.5">
      <c r="A67" s="97"/>
      <c r="K67"/>
      <c r="L67"/>
      <c r="M67"/>
      <c r="N67"/>
    </row>
    <row r="68" spans="1:14" ht="13">
      <c r="A68" s="19" t="s">
        <v>151</v>
      </c>
      <c r="B68" s="19"/>
      <c r="C68" s="19"/>
    </row>
    <row r="69" spans="1:14" ht="13">
      <c r="A69" s="19"/>
      <c r="B69" s="19"/>
      <c r="C69" s="19"/>
    </row>
    <row r="70" spans="1:14" ht="13">
      <c r="A70" s="19" t="s">
        <v>12</v>
      </c>
      <c r="B70" s="26" t="s">
        <v>152</v>
      </c>
      <c r="C70" s="19"/>
    </row>
    <row r="71" spans="1:14" ht="13">
      <c r="A71" s="26"/>
      <c r="B71" s="19"/>
      <c r="C71" s="19"/>
    </row>
    <row r="72" spans="1:14" ht="13">
      <c r="A72" s="19"/>
      <c r="B72" s="19"/>
      <c r="C72" s="19"/>
    </row>
    <row r="73" spans="1:14" s="115" customFormat="1" ht="15.5">
      <c r="A73" s="97" t="s">
        <v>153</v>
      </c>
      <c r="B73" s="97"/>
      <c r="C73" s="97"/>
    </row>
    <row r="74" spans="1:14" s="115" customFormat="1" ht="15.5">
      <c r="A74" s="97"/>
      <c r="B74" s="97"/>
      <c r="C74" s="97"/>
    </row>
    <row r="75" spans="1:14" ht="13.5" thickBot="1">
      <c r="A75" s="19" t="s">
        <v>534</v>
      </c>
      <c r="B75" s="19"/>
      <c r="C75" s="19"/>
    </row>
    <row r="76" spans="1:14" ht="31.5" customHeight="1" thickBot="1">
      <c r="A76" s="153" t="s">
        <v>529</v>
      </c>
      <c r="B76" s="151" t="s">
        <v>112</v>
      </c>
      <c r="C76" s="152" t="s">
        <v>113</v>
      </c>
      <c r="D76" s="154" t="s">
        <v>530</v>
      </c>
      <c r="E76" s="154" t="s">
        <v>531</v>
      </c>
      <c r="F76" s="154" t="s">
        <v>532</v>
      </c>
      <c r="G76" s="154" t="s">
        <v>430</v>
      </c>
      <c r="H76" s="154" t="s">
        <v>431</v>
      </c>
      <c r="I76" s="155" t="s">
        <v>432</v>
      </c>
      <c r="J76" s="156" t="s">
        <v>369</v>
      </c>
      <c r="K76" s="103"/>
    </row>
    <row r="77" spans="1:14" ht="14.25" customHeight="1">
      <c r="A77" s="133"/>
      <c r="B77" s="121"/>
      <c r="C77" s="122"/>
      <c r="D77" s="123">
        <f>'Q travel'!$C50*'Q travel'!$D50*'Q travel'!$E50</f>
        <v>0</v>
      </c>
      <c r="E77" s="123">
        <f>'Q travel'!$C51*'Q travel'!$D51*'Q travel'!$E51</f>
        <v>0</v>
      </c>
      <c r="F77" s="123">
        <f>'Q travel'!$C52*'Q travel'!$D52*'Q travel'!$E52</f>
        <v>0</v>
      </c>
      <c r="G77" s="123">
        <f>'Q travel'!$C53*'Q travel'!$D53*'Q travel'!$E53</f>
        <v>0</v>
      </c>
      <c r="H77" s="123">
        <f>'Q travel'!$C54*'Q travel'!$D54*'Q travel'!$E54</f>
        <v>0</v>
      </c>
      <c r="I77" s="134">
        <f>'Q travel'!$C55*'Q travel'!$D55*'Q travel'!$E55</f>
        <v>0</v>
      </c>
      <c r="J77" s="126" t="s">
        <v>109</v>
      </c>
      <c r="K77" s="103"/>
    </row>
    <row r="78" spans="1:14">
      <c r="A78" s="135" t="s">
        <v>475</v>
      </c>
      <c r="B78" s="56">
        <f>'Q travel'!$F$16</f>
        <v>0</v>
      </c>
      <c r="C78" s="111">
        <f>$B$78*$D$7*1.15/1000</f>
        <v>0</v>
      </c>
      <c r="D78" s="56">
        <f>IF('Q travel'!$B$50='qt calcs'!$A78,D$77*$C78,0)</f>
        <v>0</v>
      </c>
      <c r="E78" s="56">
        <f>IF('Q travel'!$B$51='qt calcs'!$A78,E$77*$C78,0)</f>
        <v>0</v>
      </c>
      <c r="F78" s="56">
        <f>IF('Q travel'!$B$52='qt calcs'!$A78,F$77*$C78,0)</f>
        <v>0</v>
      </c>
      <c r="G78" s="56">
        <f>IF('Q travel'!$B$53='qt calcs'!$A78,G$77*$C78,0)</f>
        <v>0</v>
      </c>
      <c r="H78" s="56">
        <f>IF('Q travel'!$B$54='qt calcs'!$A78,H$77*$C78,0)</f>
        <v>0</v>
      </c>
      <c r="I78" s="136">
        <f>IF('Q travel'!$B$55='qt calcs'!$A78,I$77*$C78,0)</f>
        <v>0</v>
      </c>
      <c r="J78" s="127">
        <f t="shared" ref="J78:J85" si="2">SUM(D78:I78)</f>
        <v>0</v>
      </c>
      <c r="K78" s="47"/>
    </row>
    <row r="79" spans="1:14">
      <c r="A79" s="135" t="s">
        <v>476</v>
      </c>
      <c r="B79" s="56">
        <f>'Q travel'!$F$24</f>
        <v>0</v>
      </c>
      <c r="C79" s="111">
        <f>$B$79*$D$7*1.15/1000</f>
        <v>0</v>
      </c>
      <c r="D79" s="56">
        <f>IF('Q travel'!$B$50='qt calcs'!$A79,D$77*$C79,0)</f>
        <v>0</v>
      </c>
      <c r="E79" s="56">
        <f>IF('Q travel'!$B$51='qt calcs'!$A79,E$77*$C79,0)</f>
        <v>0</v>
      </c>
      <c r="F79" s="56">
        <f>IF('Q travel'!$B$52='qt calcs'!$A79,F$77*$C79,0)</f>
        <v>0</v>
      </c>
      <c r="G79" s="56">
        <f>IF('Q travel'!$B$53='qt calcs'!$A79,G$77*$C79,0)</f>
        <v>0</v>
      </c>
      <c r="H79" s="56">
        <f>IF('Q travel'!$B$54='qt calcs'!$A79,H$77*$C79,0)</f>
        <v>0</v>
      </c>
      <c r="I79" s="136">
        <f>IF('Q travel'!$B$55='qt calcs'!$A79,I$77*$C79,0)</f>
        <v>0</v>
      </c>
      <c r="J79" s="127">
        <f t="shared" si="2"/>
        <v>0</v>
      </c>
      <c r="K79" s="47"/>
    </row>
    <row r="80" spans="1:14" ht="13" thickBot="1">
      <c r="A80" s="137" t="s">
        <v>477</v>
      </c>
      <c r="B80" s="116">
        <f>'Q travel'!$F$32</f>
        <v>0</v>
      </c>
      <c r="C80" s="117">
        <f>$B$80*$D$7*1.15/1000</f>
        <v>0</v>
      </c>
      <c r="D80" s="116">
        <f>IF('Q travel'!$B$50='qt calcs'!$A80,D$77*$C80,0)</f>
        <v>0</v>
      </c>
      <c r="E80" s="116">
        <f>IF('Q travel'!$B$51='qt calcs'!$A80,E$77*$C80,0)</f>
        <v>0</v>
      </c>
      <c r="F80" s="116">
        <f>IF('Q travel'!$B$52='qt calcs'!$A80,F$77*$C80,0)</f>
        <v>0</v>
      </c>
      <c r="G80" s="116">
        <f>IF('Q travel'!$B$53='qt calcs'!$A80,G$77*$C80,0)</f>
        <v>0</v>
      </c>
      <c r="H80" s="116">
        <f>IF('Q travel'!$B$54='qt calcs'!$A80,H$77*$C80,0)</f>
        <v>0</v>
      </c>
      <c r="I80" s="138">
        <f>IF('Q travel'!$B$55='qt calcs'!$A80,I$77*$C80,0)</f>
        <v>0</v>
      </c>
      <c r="J80" s="128">
        <f t="shared" si="2"/>
        <v>0</v>
      </c>
      <c r="K80" s="47"/>
    </row>
    <row r="81" spans="1:11" ht="12" customHeight="1" thickBot="1">
      <c r="A81" s="118" t="s">
        <v>114</v>
      </c>
      <c r="B81" s="119"/>
      <c r="C81" s="119"/>
      <c r="D81" s="119">
        <f t="shared" ref="D81:I81" si="3">SUM(D78:D80)</f>
        <v>0</v>
      </c>
      <c r="E81" s="119">
        <f t="shared" si="3"/>
        <v>0</v>
      </c>
      <c r="F81" s="119">
        <f t="shared" si="3"/>
        <v>0</v>
      </c>
      <c r="G81" s="119">
        <f t="shared" si="3"/>
        <v>0</v>
      </c>
      <c r="H81" s="119">
        <f t="shared" si="3"/>
        <v>0</v>
      </c>
      <c r="I81" s="120">
        <f t="shared" si="3"/>
        <v>0</v>
      </c>
      <c r="J81" s="129">
        <f t="shared" si="2"/>
        <v>0</v>
      </c>
      <c r="K81" s="47"/>
    </row>
    <row r="82" spans="1:11" ht="12" customHeight="1">
      <c r="A82" s="139" t="s">
        <v>232</v>
      </c>
      <c r="B82" s="59"/>
      <c r="C82" s="59"/>
      <c r="D82" s="59" t="e">
        <f>'Q travel'!$F50/('Q travel'!$F50+'Q travel'!$G50)</f>
        <v>#DIV/0!</v>
      </c>
      <c r="E82" s="59" t="e">
        <f>'Q travel'!$F51/('Q travel'!$F51+'Q travel'!$G51)</f>
        <v>#DIV/0!</v>
      </c>
      <c r="F82" s="59" t="e">
        <f>'Q travel'!$F52/('Q travel'!$F52+'Q travel'!$G52)</f>
        <v>#DIV/0!</v>
      </c>
      <c r="G82" s="59" t="e">
        <f>'Q travel'!$F53/('Q travel'!$F53+'Q travel'!$G53)</f>
        <v>#DIV/0!</v>
      </c>
      <c r="H82" s="59" t="e">
        <f>'Q travel'!$F54/('Q travel'!$F54+'Q travel'!$G54)</f>
        <v>#DIV/0!</v>
      </c>
      <c r="I82" s="140" t="e">
        <f>'Q travel'!$F55/('Q travel'!$F55+'Q travel'!$G55)</f>
        <v>#DIV/0!</v>
      </c>
      <c r="J82" s="130"/>
      <c r="K82" s="47"/>
    </row>
    <row r="83" spans="1:11" ht="12" customHeight="1">
      <c r="A83" s="141" t="s">
        <v>234</v>
      </c>
      <c r="B83" s="66"/>
      <c r="C83" s="66"/>
      <c r="D83" s="48" t="str">
        <f t="shared" ref="D83:I83" si="4">IF(ISERROR(D82),"0",D82)</f>
        <v>0</v>
      </c>
      <c r="E83" s="48" t="str">
        <f t="shared" si="4"/>
        <v>0</v>
      </c>
      <c r="F83" s="48" t="str">
        <f t="shared" si="4"/>
        <v>0</v>
      </c>
      <c r="G83" s="48" t="str">
        <f t="shared" si="4"/>
        <v>0</v>
      </c>
      <c r="H83" s="48" t="str">
        <f t="shared" si="4"/>
        <v>0</v>
      </c>
      <c r="I83" s="142" t="str">
        <f t="shared" si="4"/>
        <v>0</v>
      </c>
      <c r="J83" s="131"/>
      <c r="K83" s="47"/>
    </row>
    <row r="84" spans="1:11">
      <c r="A84" s="143" t="s">
        <v>168</v>
      </c>
      <c r="B84" s="77"/>
      <c r="C84" s="77"/>
      <c r="D84" s="56">
        <f t="shared" ref="D84:I84" si="5">D81-D85</f>
        <v>0</v>
      </c>
      <c r="E84" s="56">
        <f t="shared" si="5"/>
        <v>0</v>
      </c>
      <c r="F84" s="56">
        <f t="shared" si="5"/>
        <v>0</v>
      </c>
      <c r="G84" s="56">
        <f t="shared" si="5"/>
        <v>0</v>
      </c>
      <c r="H84" s="56">
        <f t="shared" si="5"/>
        <v>0</v>
      </c>
      <c r="I84" s="136">
        <f t="shared" si="5"/>
        <v>0</v>
      </c>
      <c r="J84" s="132">
        <f t="shared" si="2"/>
        <v>0</v>
      </c>
      <c r="K84" s="47"/>
    </row>
    <row r="85" spans="1:11" ht="13.5" thickBot="1">
      <c r="A85" s="144" t="s">
        <v>233</v>
      </c>
      <c r="B85" s="145"/>
      <c r="C85" s="145"/>
      <c r="D85" s="148">
        <f t="shared" ref="D85:I85" si="6">D81*D83</f>
        <v>0</v>
      </c>
      <c r="E85" s="148">
        <f t="shared" si="6"/>
        <v>0</v>
      </c>
      <c r="F85" s="148">
        <f t="shared" si="6"/>
        <v>0</v>
      </c>
      <c r="G85" s="148">
        <f t="shared" si="6"/>
        <v>0</v>
      </c>
      <c r="H85" s="148">
        <f t="shared" si="6"/>
        <v>0</v>
      </c>
      <c r="I85" s="149">
        <f t="shared" si="6"/>
        <v>0</v>
      </c>
      <c r="J85" s="150">
        <f t="shared" si="2"/>
        <v>0</v>
      </c>
      <c r="K85" s="47"/>
    </row>
    <row r="86" spans="1:11">
      <c r="A86" s="47"/>
      <c r="B86" s="47"/>
      <c r="C86" s="47"/>
      <c r="D86" s="47"/>
      <c r="E86" s="47"/>
      <c r="F86" s="47"/>
      <c r="G86" s="47"/>
      <c r="H86" s="47"/>
      <c r="I86" s="47"/>
    </row>
    <row r="87" spans="1:11" ht="13" thickBot="1">
      <c r="A87" s="2" t="s">
        <v>150</v>
      </c>
    </row>
    <row r="88" spans="1:11" ht="24.75" customHeight="1" thickBot="1">
      <c r="A88" s="160" t="s">
        <v>489</v>
      </c>
      <c r="B88" s="161" t="s">
        <v>641</v>
      </c>
      <c r="C88" s="162" t="s">
        <v>427</v>
      </c>
      <c r="D88" s="162" t="s">
        <v>428</v>
      </c>
      <c r="E88" s="162" t="s">
        <v>429</v>
      </c>
      <c r="F88" s="162" t="s">
        <v>430</v>
      </c>
      <c r="G88" s="162" t="s">
        <v>431</v>
      </c>
      <c r="H88" s="167" t="s">
        <v>432</v>
      </c>
      <c r="I88" s="169" t="s">
        <v>369</v>
      </c>
    </row>
    <row r="89" spans="1:11">
      <c r="A89" s="164" t="str">
        <f>A52</f>
        <v>Small car, up to 1.4l petrol engine</v>
      </c>
      <c r="B89" s="168">
        <f>C52</f>
        <v>0.15648999999999999</v>
      </c>
      <c r="C89" s="157">
        <f>IF('Q travel'!$B$63='qt calcs'!$A89,'qt calcs'!$B89*'Q travel'!$C$63*'Q travel'!$D$63*'Q travel'!$E$63,0)</f>
        <v>0</v>
      </c>
      <c r="D89" s="157">
        <f>IF('Q travel'!$B$64='qt calcs'!$A89,'qt calcs'!$B89*'Q travel'!$C$64*'Q travel'!$D$64*'Q travel'!$E$64,0)</f>
        <v>0</v>
      </c>
      <c r="E89" s="157">
        <f>IF('Q travel'!$B$65='qt calcs'!$A89,'qt calcs'!$B89*'Q travel'!$C$65*'Q travel'!$D$65*'Q travel'!$E$65,0)</f>
        <v>0</v>
      </c>
      <c r="F89" s="157">
        <f>IF('Q travel'!$B$66='qt calcs'!$A89,'qt calcs'!$B89*'Q travel'!$C$66*'Q travel'!$D$66*'Q travel'!$E$66,0)</f>
        <v>0</v>
      </c>
      <c r="G89" s="157">
        <f>IF('Q travel'!$B$67='qt calcs'!$A89,'qt calcs'!$B89*'Q travel'!$C$67*'Q travel'!$D$67*'Q travel'!$E$67,0)</f>
        <v>0</v>
      </c>
      <c r="H89" s="165">
        <f>IF('Q travel'!$B$68='qt calcs'!$A89,'qt calcs'!$B89*'Q travel'!$C$68*'Q travel'!$D$68*'Q travel'!$E$68,0)</f>
        <v>0</v>
      </c>
      <c r="I89" s="170"/>
    </row>
    <row r="90" spans="1:11">
      <c r="A90" s="135" t="str">
        <f t="shared" ref="A90:A98" si="7">A53</f>
        <v>Medium car 1.4-2l petrol engine</v>
      </c>
      <c r="B90" s="124">
        <f t="shared" ref="B90:B99" si="8">C53</f>
        <v>0.19489999999999999</v>
      </c>
      <c r="C90" s="56">
        <f>IF('Q travel'!$B$63='qt calcs'!$A90,'qt calcs'!$B90*'Q travel'!$C$63*'Q travel'!$D$63*'Q travel'!$E$63,0)</f>
        <v>0</v>
      </c>
      <c r="D90" s="56">
        <f>IF('Q travel'!$B$64='qt calcs'!$A90,'qt calcs'!$B90*'Q travel'!$C$64*'Q travel'!$D$64*'Q travel'!$E$64,0)</f>
        <v>0</v>
      </c>
      <c r="E90" s="56">
        <f>IF('Q travel'!$B$65='qt calcs'!$A90,'qt calcs'!$B90*'Q travel'!$C$65*'Q travel'!$D$65*'Q travel'!$E$65,0)</f>
        <v>0</v>
      </c>
      <c r="F90" s="56">
        <f>IF('Q travel'!$B$66='qt calcs'!$A90,'qt calcs'!$B90*'Q travel'!$C$66*'Q travel'!$D$66*'Q travel'!$E$66,0)</f>
        <v>0</v>
      </c>
      <c r="G90" s="56">
        <f>IF('Q travel'!$B$67='qt calcs'!$A90,'qt calcs'!$B90*'Q travel'!$C$67*'Q travel'!$D$67*'Q travel'!$E$67,0)</f>
        <v>0</v>
      </c>
      <c r="H90" s="136">
        <f>IF('Q travel'!$B$68='qt calcs'!$A90,'qt calcs'!$B90*'Q travel'!$C$68*'Q travel'!$D$68*'Q travel'!$E$68,0)</f>
        <v>0</v>
      </c>
      <c r="I90" s="127"/>
    </row>
    <row r="91" spans="1:11">
      <c r="A91" s="135" t="str">
        <f t="shared" si="7"/>
        <v>Large car above 2l petrol engine</v>
      </c>
      <c r="B91" s="56">
        <f t="shared" si="8"/>
        <v>0.28538999999999998</v>
      </c>
      <c r="C91" s="93">
        <f>IF('Q travel'!$B$63='qt calcs'!$A91,'qt calcs'!$B91*'Q travel'!$C$63*'Q travel'!$D$63*'Q travel'!$E$63,0)</f>
        <v>0</v>
      </c>
      <c r="D91" s="56">
        <f>IF('Q travel'!$B$64='qt calcs'!$A91,'qt calcs'!$B91*'Q travel'!$C$64*'Q travel'!$D$64*'Q travel'!$E$64,0)</f>
        <v>0</v>
      </c>
      <c r="E91" s="56">
        <f>IF('Q travel'!$B$65='qt calcs'!$A91,'qt calcs'!$B91*'Q travel'!$C$65*'Q travel'!$D$65*'Q travel'!$E$65,0)</f>
        <v>0</v>
      </c>
      <c r="F91" s="56">
        <f>IF('Q travel'!$B$66='qt calcs'!$A91,'qt calcs'!$B91*'Q travel'!$C$66*'Q travel'!$D$66*'Q travel'!$E$66,0)</f>
        <v>0</v>
      </c>
      <c r="G91" s="56">
        <f>IF('Q travel'!$B$67='qt calcs'!$A91,'qt calcs'!$B91*'Q travel'!$C$67*'Q travel'!$D$67*'Q travel'!$E$67,0)</f>
        <v>0</v>
      </c>
      <c r="H91" s="136">
        <f>IF('Q travel'!$B$68='qt calcs'!$A91,'qt calcs'!$B91*'Q travel'!$C$68*'Q travel'!$D$68*'Q travel'!$E$68,0)</f>
        <v>0</v>
      </c>
      <c r="I91" s="127"/>
    </row>
    <row r="92" spans="1:11">
      <c r="A92" s="135" t="str">
        <f t="shared" si="7"/>
        <v>Small car up to 1.7l diesel engine</v>
      </c>
      <c r="B92" s="56">
        <f t="shared" si="8"/>
        <v>0.14545</v>
      </c>
      <c r="C92" s="93">
        <f>IF('Q travel'!$B$63='qt calcs'!$A92,'qt calcs'!$B92*'Q travel'!$C$63*'Q travel'!$D$63*'Q travel'!$E$63,0)</f>
        <v>0</v>
      </c>
      <c r="D92" s="56">
        <f>IF('Q travel'!$B$64='qt calcs'!$A92,'qt calcs'!$B92*'Q travel'!$C$64*'Q travel'!$D$64*'Q travel'!$E$64,0)</f>
        <v>0</v>
      </c>
      <c r="E92" s="56">
        <f>IF('Q travel'!$B$65='qt calcs'!$A92,'qt calcs'!$B92*'Q travel'!$C$65*'Q travel'!$D$65*'Q travel'!$E$65,0)</f>
        <v>0</v>
      </c>
      <c r="F92" s="56">
        <f>IF('Q travel'!$B$66='qt calcs'!$A92,'qt calcs'!$B92*'Q travel'!$C$66*'Q travel'!$D$66*'Q travel'!$E$66,0)</f>
        <v>0</v>
      </c>
      <c r="G92" s="56">
        <f>IF('Q travel'!$B$67='qt calcs'!$A92,'qt calcs'!$B92*'Q travel'!$C$67*'Q travel'!$D$67*'Q travel'!$E$67,0)</f>
        <v>0</v>
      </c>
      <c r="H92" s="136">
        <f>IF('Q travel'!$B$68='qt calcs'!$A92,'qt calcs'!$B92*'Q travel'!$C$68*'Q travel'!$D$68*'Q travel'!$E$68,0)</f>
        <v>0</v>
      </c>
      <c r="I92" s="127"/>
    </row>
    <row r="93" spans="1:11">
      <c r="A93" s="135" t="str">
        <f t="shared" si="7"/>
        <v>Medium car 1.7-2l diesel engine</v>
      </c>
      <c r="B93" s="56">
        <f t="shared" si="8"/>
        <v>0.17380000000000001</v>
      </c>
      <c r="C93" s="93">
        <f>IF('Q travel'!$B$63='qt calcs'!$A93,'qt calcs'!$B93*'Q travel'!$C$63*'Q travel'!$D$63*'Q travel'!$E$63,0)</f>
        <v>0</v>
      </c>
      <c r="D93" s="56">
        <f>IF('Q travel'!$B$64='qt calcs'!$A93,'qt calcs'!$B93*'Q travel'!$C$64*'Q travel'!$D$64*'Q travel'!$E$64,0)</f>
        <v>0</v>
      </c>
      <c r="E93" s="56">
        <f>IF('Q travel'!$B$65='qt calcs'!$A93,'qt calcs'!$B93*'Q travel'!$C$65*'Q travel'!$D$65*'Q travel'!$E$65,0)</f>
        <v>0</v>
      </c>
      <c r="F93" s="56">
        <f>IF('Q travel'!$B$66='qt calcs'!$A93,'qt calcs'!$B93*'Q travel'!$C$66*'Q travel'!$D$66*'Q travel'!$E$66,0)</f>
        <v>0</v>
      </c>
      <c r="G93" s="56">
        <f>IF('Q travel'!$B$67='qt calcs'!$A93,'qt calcs'!$B93*'Q travel'!$C$67*'Q travel'!$D$67*'Q travel'!$E$67,0)</f>
        <v>0</v>
      </c>
      <c r="H93" s="136">
        <f>IF('Q travel'!$B$68='qt calcs'!$A93,'qt calcs'!$B93*'Q travel'!$C$68*'Q travel'!$D$68*'Q travel'!$E$68,0)</f>
        <v>0</v>
      </c>
      <c r="I93" s="127"/>
    </row>
    <row r="94" spans="1:11">
      <c r="A94" s="135" t="str">
        <f t="shared" si="7"/>
        <v>Large car above 2l diesel engine</v>
      </c>
      <c r="B94" s="56">
        <f t="shared" si="8"/>
        <v>0.21834000000000001</v>
      </c>
      <c r="C94" s="93">
        <f>IF('Q travel'!$B$63='qt calcs'!$A94,'qt calcs'!$B94*'Q travel'!$C$63*'Q travel'!$D$63*'Q travel'!$E$63,0)</f>
        <v>0</v>
      </c>
      <c r="D94" s="56">
        <f>IF('Q travel'!$B$64='qt calcs'!$A94,'qt calcs'!$B94*'Q travel'!$C$64*'Q travel'!$D$64*'Q travel'!$E$64,0)</f>
        <v>0</v>
      </c>
      <c r="E94" s="56">
        <f>IF('Q travel'!$B$65='qt calcs'!$A94,'qt calcs'!$B94*'Q travel'!$C$65*'Q travel'!$D$65*'Q travel'!$E$65,0)</f>
        <v>0</v>
      </c>
      <c r="F94" s="56">
        <f>IF('Q travel'!$B$66='qt calcs'!$A94,'qt calcs'!$B94*'Q travel'!$C$66*'Q travel'!$D$66*'Q travel'!$E$66,0)</f>
        <v>0</v>
      </c>
      <c r="G94" s="56">
        <f>IF('Q travel'!$B$67='qt calcs'!$A94,'qt calcs'!$B94*'Q travel'!$C$67*'Q travel'!$D$67*'Q travel'!$E$67,0)</f>
        <v>0</v>
      </c>
      <c r="H94" s="136">
        <f>IF('Q travel'!$B$68='qt calcs'!$A94,'qt calcs'!$B94*'Q travel'!$C$68*'Q travel'!$D$68*'Q travel'!$E$68,0)</f>
        <v>0</v>
      </c>
      <c r="I94" s="127"/>
    </row>
    <row r="95" spans="1:11">
      <c r="A95" s="135" t="str">
        <f t="shared" si="7"/>
        <v>Medium petrol hybrid car</v>
      </c>
      <c r="B95" s="56">
        <f t="shared" si="8"/>
        <v>0.11108999999999999</v>
      </c>
      <c r="C95" s="93">
        <f>IF('Q travel'!$B$63='qt calcs'!$A95,'qt calcs'!$B95*'Q travel'!$C$63*'Q travel'!$D$63*'Q travel'!$E$63,0)</f>
        <v>0</v>
      </c>
      <c r="D95" s="56">
        <f>IF('Q travel'!$B$64='qt calcs'!$A95,'qt calcs'!$B95*'Q travel'!$C$64*'Q travel'!$D$64*'Q travel'!$E$64,0)</f>
        <v>0</v>
      </c>
      <c r="E95" s="56">
        <f>IF('Q travel'!$B$65='qt calcs'!$A95,'qt calcs'!$B95*'Q travel'!$C$65*'Q travel'!$D$65*'Q travel'!$E$65,0)</f>
        <v>0</v>
      </c>
      <c r="F95" s="56">
        <f>IF('Q travel'!$B$66='qt calcs'!$A95,'qt calcs'!$B95*'Q travel'!$C$66*'Q travel'!$D$66*'Q travel'!$E$66,0)</f>
        <v>0</v>
      </c>
      <c r="G95" s="56">
        <f>IF('Q travel'!$B$67='qt calcs'!$A95,'qt calcs'!$B95*'Q travel'!$C$67*'Q travel'!$D$67*'Q travel'!$E$67,0)</f>
        <v>0</v>
      </c>
      <c r="H95" s="136">
        <f>IF('Q travel'!$B$68='qt calcs'!$A95,'qt calcs'!$B95*'Q travel'!$C$68*'Q travel'!$D$68*'Q travel'!$E$68,0)</f>
        <v>0</v>
      </c>
      <c r="I95" s="127"/>
    </row>
    <row r="96" spans="1:11">
      <c r="A96" s="135" t="str">
        <f t="shared" si="7"/>
        <v>Large petrol hybrid car</v>
      </c>
      <c r="B96" s="56">
        <f t="shared" si="8"/>
        <v>0.12895000000000001</v>
      </c>
      <c r="C96" s="93">
        <f>IF('Q travel'!$B$63='qt calcs'!$A96,'qt calcs'!$B96*'Q travel'!$C$63*'Q travel'!$D$63*'Q travel'!$E$63,0)</f>
        <v>0</v>
      </c>
      <c r="D96" s="56">
        <f>IF('Q travel'!$B$64='qt calcs'!$A96,'qt calcs'!$B96*'Q travel'!$C$64*'Q travel'!$D$64*'Q travel'!$E$64,0)</f>
        <v>0</v>
      </c>
      <c r="E96" s="56">
        <f>IF('Q travel'!$B$65='qt calcs'!$A96,'qt calcs'!$B96*'Q travel'!$C$65*'Q travel'!$D$65*'Q travel'!$E$65,0)</f>
        <v>0</v>
      </c>
      <c r="F96" s="56">
        <f>IF('Q travel'!$B$66='qt calcs'!$A96,'qt calcs'!$B96*'Q travel'!$C$66*'Q travel'!$D$66*'Q travel'!$E$66,0)</f>
        <v>0</v>
      </c>
      <c r="G96" s="56">
        <f>IF('Q travel'!$B$67='qt calcs'!$A96,'qt calcs'!$B96*'Q travel'!$C$67*'Q travel'!$D$67*'Q travel'!$E$67,0)</f>
        <v>0</v>
      </c>
      <c r="H96" s="136">
        <f>IF('Q travel'!$B$68='qt calcs'!$A96,'qt calcs'!$B96*'Q travel'!$C$68*'Q travel'!$D$68*'Q travel'!$E$68,0)</f>
        <v>0</v>
      </c>
      <c r="I96" s="127"/>
    </row>
    <row r="97" spans="1:11">
      <c r="A97" s="135" t="str">
        <f t="shared" si="7"/>
        <v>Medium LPG car</v>
      </c>
      <c r="B97" s="56">
        <f t="shared" si="8"/>
        <v>0.18254999999999999</v>
      </c>
      <c r="C97" s="93">
        <f>IF('Q travel'!$B$63='qt calcs'!$A97,'qt calcs'!$B97*'Q travel'!$C$63*'Q travel'!$D$63*'Q travel'!$E$63,0)</f>
        <v>0</v>
      </c>
      <c r="D97" s="56">
        <f>IF('Q travel'!$B$64='qt calcs'!$A97,'qt calcs'!$B97*'Q travel'!$C$64*'Q travel'!$D$64*'Q travel'!$E$64,0)</f>
        <v>0</v>
      </c>
      <c r="E97" s="56">
        <f>IF('Q travel'!$B$65='qt calcs'!$A97,'qt calcs'!$B97*'Q travel'!$C$65*'Q travel'!$D$65*'Q travel'!$E$65,0)</f>
        <v>0</v>
      </c>
      <c r="F97" s="56">
        <f>IF('Q travel'!$B$66='qt calcs'!$A97,'qt calcs'!$B97*'Q travel'!$C$66*'Q travel'!$D$66*'Q travel'!$E$66,0)</f>
        <v>0</v>
      </c>
      <c r="G97" s="56">
        <f>IF('Q travel'!$B$67='qt calcs'!$A97,'qt calcs'!$B97*'Q travel'!$C$67*'Q travel'!$D$67*'Q travel'!$E$67,0)</f>
        <v>0</v>
      </c>
      <c r="H97" s="136">
        <f>IF('Q travel'!$B$68='qt calcs'!$A97,'qt calcs'!$B97*'Q travel'!$C$68*'Q travel'!$D$68*'Q travel'!$E$68,0)</f>
        <v>0</v>
      </c>
      <c r="I97" s="127"/>
    </row>
    <row r="98" spans="1:11">
      <c r="A98" s="137" t="str">
        <f t="shared" si="7"/>
        <v>Large LPG car</v>
      </c>
      <c r="B98" s="116">
        <f t="shared" si="8"/>
        <v>0.26829999999999998</v>
      </c>
      <c r="C98" s="186">
        <f>IF('Q travel'!$B$63='qt calcs'!$A98,'qt calcs'!$B98*'Q travel'!$C$63*'Q travel'!$D$63*'Q travel'!$E$63,0)</f>
        <v>0</v>
      </c>
      <c r="D98" s="116">
        <f>IF('Q travel'!$B$64='qt calcs'!$A98,'qt calcs'!$B98*'Q travel'!$C$64*'Q travel'!$D$64*'Q travel'!$E$64,0)</f>
        <v>0</v>
      </c>
      <c r="E98" s="116">
        <f>IF('Q travel'!$B$65='qt calcs'!$A98,'qt calcs'!$B98*'Q travel'!$C$65*'Q travel'!$D$65*'Q travel'!$E$65,0)</f>
        <v>0</v>
      </c>
      <c r="F98" s="116">
        <f>IF('Q travel'!$B$66='qt calcs'!$A98,'qt calcs'!$B98*'Q travel'!$C$66*'Q travel'!$D$66*'Q travel'!$E$66,0)</f>
        <v>0</v>
      </c>
      <c r="G98" s="116">
        <f>IF('Q travel'!$B$67='qt calcs'!$A98,'qt calcs'!$B98*'Q travel'!$C$67*'Q travel'!$D$67*'Q travel'!$E$67,0)</f>
        <v>0</v>
      </c>
      <c r="H98" s="138">
        <f>IF('Q travel'!$B$68='qt calcs'!$A98,'qt calcs'!$B98*'Q travel'!$C$68*'Q travel'!$D$68*'Q travel'!$E$68,0)</f>
        <v>0</v>
      </c>
      <c r="I98" s="128"/>
    </row>
    <row r="99" spans="1:11" ht="13" thickBot="1">
      <c r="A99" s="166" t="str">
        <f>'Q travel'!I87</f>
        <v>Pool car (eg zipcar)</v>
      </c>
      <c r="B99" s="146">
        <f t="shared" si="8"/>
        <v>0.207561</v>
      </c>
      <c r="C99" s="187">
        <f>IF('Q travel'!$B$63='qt calcs'!$A99,'qt calcs'!$B99*'Q travel'!$C$63*'Q travel'!$D$63*'Q travel'!$E$63,0)</f>
        <v>0</v>
      </c>
      <c r="D99" s="146">
        <f>IF('Q travel'!$B$64='qt calcs'!$A99,'qt calcs'!$B99*'Q travel'!$C$64*'Q travel'!$D$64*'Q travel'!$E$64,0)</f>
        <v>0</v>
      </c>
      <c r="E99" s="146">
        <f>IF('Q travel'!$B$65='qt calcs'!$A99,'qt calcs'!$B99*'Q travel'!$C$65*'Q travel'!$D$65*'Q travel'!$E$65,0)</f>
        <v>0</v>
      </c>
      <c r="F99" s="146">
        <f>IF('Q travel'!$B$66='qt calcs'!$A99,'qt calcs'!$B99*'Q travel'!$C$66*'Q travel'!$D$66*'Q travel'!$E$66,0)</f>
        <v>0</v>
      </c>
      <c r="G99" s="146">
        <f>IF('Q travel'!$B$67='qt calcs'!$A99,'qt calcs'!$B99*'Q travel'!$C$67*'Q travel'!$D$67*'Q travel'!$E$67,0)</f>
        <v>0</v>
      </c>
      <c r="H99" s="147">
        <f>IF('Q travel'!$B$68='qt calcs'!$A99,'qt calcs'!$B99*'Q travel'!$C$68*'Q travel'!$D$68*'Q travel'!$E$68,0)</f>
        <v>0</v>
      </c>
      <c r="I99" s="128"/>
    </row>
    <row r="100" spans="1:11" ht="13.5" thickBot="1">
      <c r="A100" s="185"/>
      <c r="B100" s="184" t="s">
        <v>369</v>
      </c>
      <c r="C100" s="184">
        <f t="shared" ref="C100:H100" si="9">SUM(C89:C99)</f>
        <v>0</v>
      </c>
      <c r="D100" s="184">
        <f t="shared" si="9"/>
        <v>0</v>
      </c>
      <c r="E100" s="184">
        <f t="shared" si="9"/>
        <v>0</v>
      </c>
      <c r="F100" s="184">
        <f t="shared" si="9"/>
        <v>0</v>
      </c>
      <c r="G100" s="184">
        <f t="shared" si="9"/>
        <v>0</v>
      </c>
      <c r="H100" s="184">
        <f t="shared" si="9"/>
        <v>0</v>
      </c>
      <c r="I100" s="171"/>
    </row>
    <row r="101" spans="1:11">
      <c r="A101" s="163" t="s">
        <v>232</v>
      </c>
      <c r="B101" s="59"/>
      <c r="C101" s="59" t="e">
        <f>'Q travel'!$F63/('Q travel'!$F63+'Q travel'!$G63)</f>
        <v>#DIV/0!</v>
      </c>
      <c r="D101" s="59" t="e">
        <f>'Q travel'!$F64/('Q travel'!$F64+'Q travel'!$G64)</f>
        <v>#DIV/0!</v>
      </c>
      <c r="E101" s="59" t="e">
        <f>'Q travel'!$F65/('Q travel'!$F65+'Q travel'!$G65)</f>
        <v>#DIV/0!</v>
      </c>
      <c r="F101" s="59" t="e">
        <f>'Q travel'!$F66/('Q travel'!$F66+'Q travel'!$G66)</f>
        <v>#DIV/0!</v>
      </c>
      <c r="G101" s="59" t="e">
        <f>'Q travel'!$F67/('Q travel'!$F67+'Q travel'!$G67)</f>
        <v>#DIV/0!</v>
      </c>
      <c r="H101" s="125" t="e">
        <f>'Q travel'!$F68/('Q travel'!$F68+'Q travel'!$G68)</f>
        <v>#DIV/0!</v>
      </c>
      <c r="I101" s="172"/>
    </row>
    <row r="102" spans="1:11">
      <c r="A102" s="141" t="s">
        <v>234</v>
      </c>
      <c r="B102" s="56"/>
      <c r="C102" s="81" t="str">
        <f t="shared" ref="C102:H102" si="10">IF(ISERROR(C101),"0",C101)</f>
        <v>0</v>
      </c>
      <c r="D102" s="81" t="str">
        <f t="shared" si="10"/>
        <v>0</v>
      </c>
      <c r="E102" s="81" t="str">
        <f t="shared" si="10"/>
        <v>0</v>
      </c>
      <c r="F102" s="81" t="str">
        <f t="shared" si="10"/>
        <v>0</v>
      </c>
      <c r="G102" s="81" t="str">
        <f t="shared" si="10"/>
        <v>0</v>
      </c>
      <c r="H102" s="81" t="str">
        <f t="shared" si="10"/>
        <v>0</v>
      </c>
      <c r="I102" s="127"/>
    </row>
    <row r="103" spans="1:11">
      <c r="A103" s="158" t="s">
        <v>168</v>
      </c>
      <c r="B103" s="56"/>
      <c r="C103" s="56">
        <f t="shared" ref="C103:H103" si="11">C100-C104</f>
        <v>0</v>
      </c>
      <c r="D103" s="56">
        <f t="shared" si="11"/>
        <v>0</v>
      </c>
      <c r="E103" s="56">
        <f t="shared" si="11"/>
        <v>0</v>
      </c>
      <c r="F103" s="56">
        <f t="shared" si="11"/>
        <v>0</v>
      </c>
      <c r="G103" s="56">
        <f t="shared" si="11"/>
        <v>0</v>
      </c>
      <c r="H103" s="124">
        <f t="shared" si="11"/>
        <v>0</v>
      </c>
      <c r="I103" s="132">
        <f>SUM(C103:H103)</f>
        <v>0</v>
      </c>
    </row>
    <row r="104" spans="1:11" ht="13.5" thickBot="1">
      <c r="A104" s="159" t="s">
        <v>233</v>
      </c>
      <c r="B104" s="146"/>
      <c r="C104" s="148">
        <f t="shared" ref="C104:H104" si="12">C102*C100</f>
        <v>0</v>
      </c>
      <c r="D104" s="148">
        <f t="shared" si="12"/>
        <v>0</v>
      </c>
      <c r="E104" s="148">
        <f t="shared" si="12"/>
        <v>0</v>
      </c>
      <c r="F104" s="148">
        <f t="shared" si="12"/>
        <v>0</v>
      </c>
      <c r="G104" s="148">
        <f t="shared" si="12"/>
        <v>0</v>
      </c>
      <c r="H104" s="173">
        <f t="shared" si="12"/>
        <v>0</v>
      </c>
      <c r="I104" s="150">
        <f>SUM(C104:H104)</f>
        <v>0</v>
      </c>
    </row>
    <row r="105" spans="1:11">
      <c r="A105" s="103"/>
    </row>
    <row r="106" spans="1:11" ht="13" thickBot="1">
      <c r="A106" s="818" t="s">
        <v>535</v>
      </c>
      <c r="B106" s="819"/>
      <c r="C106" s="819"/>
      <c r="D106" s="819"/>
      <c r="E106" s="819"/>
      <c r="F106" s="819"/>
      <c r="G106" s="177" t="s">
        <v>436</v>
      </c>
    </row>
    <row r="107" spans="1:11" ht="13" thickBot="1">
      <c r="A107" s="181"/>
      <c r="B107" s="182" t="s">
        <v>427</v>
      </c>
      <c r="C107" s="162" t="s">
        <v>428</v>
      </c>
      <c r="D107" s="162" t="s">
        <v>429</v>
      </c>
      <c r="E107" s="162" t="s">
        <v>430</v>
      </c>
      <c r="F107" s="162" t="s">
        <v>431</v>
      </c>
      <c r="G107" s="162" t="s">
        <v>432</v>
      </c>
      <c r="H107" s="162" t="s">
        <v>433</v>
      </c>
      <c r="I107" s="162" t="s">
        <v>435</v>
      </c>
      <c r="J107" s="162" t="s">
        <v>437</v>
      </c>
      <c r="K107" s="183" t="s">
        <v>438</v>
      </c>
    </row>
    <row r="108" spans="1:11" ht="13.5" thickBot="1">
      <c r="A108" s="200" t="s">
        <v>67</v>
      </c>
      <c r="B108" s="201">
        <f>'Q travel'!C76*'Q travel'!D76*'Q travel'!E76</f>
        <v>0</v>
      </c>
      <c r="C108" s="197">
        <f>'Q travel'!C77*'Q travel'!D77*'Q travel'!E77</f>
        <v>0</v>
      </c>
      <c r="D108" s="197">
        <f>'Q travel'!C78*'Q travel'!D78*'Q travel'!E78</f>
        <v>0</v>
      </c>
      <c r="E108" s="197">
        <f>'Q travel'!C79*'Q travel'!D79*'Q travel'!E79</f>
        <v>0</v>
      </c>
      <c r="F108" s="197">
        <f>'Q travel'!C80*'Q travel'!D80*'Q travel'!E80</f>
        <v>0</v>
      </c>
      <c r="G108" s="197">
        <f>'Q travel'!C81*'Q travel'!D81*'Q travel'!E81</f>
        <v>0</v>
      </c>
      <c r="H108" s="197">
        <f>'Q travel'!C82*'Q travel'!D82*'Q travel'!E82</f>
        <v>0</v>
      </c>
      <c r="I108" s="197">
        <f>'Q travel'!C83*'Q travel'!D83*'Q travel'!E83</f>
        <v>0</v>
      </c>
      <c r="J108" s="197">
        <f>'Q travel'!C84*'Q travel'!D84*'Q travel'!E84</f>
        <v>0</v>
      </c>
      <c r="K108" s="202">
        <f>'Q travel'!C85*'Q travel'!D85*'Q travel'!E85</f>
        <v>0</v>
      </c>
    </row>
    <row r="109" spans="1:11">
      <c r="A109" s="199" t="str">
        <f t="shared" ref="A109:A115" si="13">A27</f>
        <v>National rail</v>
      </c>
      <c r="B109" s="163">
        <f>IF('Q travel'!$B$76 = $A109,B$108*$E27,0)</f>
        <v>0</v>
      </c>
      <c r="C109" s="59">
        <f>IF('Q travel'!$B$77 = $A109,C$108*$E27,0)</f>
        <v>0</v>
      </c>
      <c r="D109" s="59">
        <f>IF('Q travel'!$B$78 = $A109,D$108*$E27,0)</f>
        <v>0</v>
      </c>
      <c r="E109" s="59">
        <f>IF('Q travel'!$B$79 = $A109,E$108*$E27,0)</f>
        <v>0</v>
      </c>
      <c r="F109" s="59">
        <f>IF('Q travel'!$B$80 = $A109,F$108*$E27,0)</f>
        <v>0</v>
      </c>
      <c r="G109" s="59">
        <f>IF('Q travel'!$B$81 = $A109,G$108*$E27,0)</f>
        <v>0</v>
      </c>
      <c r="H109" s="59">
        <f>IF('Q travel'!$B$82 = $A109,H$108*$E27,0)</f>
        <v>0</v>
      </c>
      <c r="I109" s="59">
        <f>IF('Q travel'!$B$83 = $A109,I$108*$E27,0)</f>
        <v>0</v>
      </c>
      <c r="J109" s="59">
        <f>IF('Q travel'!$B$84 = $A109,J$108*$E27,0)</f>
        <v>0</v>
      </c>
      <c r="K109" s="140">
        <f>IF('Q travel'!$B$85 = $A109,K$108*$E27,0)</f>
        <v>0</v>
      </c>
    </row>
    <row r="110" spans="1:11">
      <c r="A110" s="178" t="str">
        <f t="shared" si="13"/>
        <v>Regular taxi</v>
      </c>
      <c r="B110" s="135">
        <f>IF('Q travel'!$B$76 = $A110,B$108*$E28,0)</f>
        <v>0</v>
      </c>
      <c r="C110" s="56">
        <f>IF('Q travel'!$B$77 = $A110,C$108*$E28,0)</f>
        <v>0</v>
      </c>
      <c r="D110" s="56">
        <f>IF('Q travel'!$B$78 = $A110,D$108*$E28,0)</f>
        <v>0</v>
      </c>
      <c r="E110" s="56">
        <f>IF('Q travel'!$B$79 = $A110,E$108*$E28,0)</f>
        <v>0</v>
      </c>
      <c r="F110" s="56">
        <f>IF('Q travel'!$B$80 = $A110,F$108*$E28,0)</f>
        <v>0</v>
      </c>
      <c r="G110" s="56">
        <f>IF('Q travel'!$B$81 = $A110,G$108*$E28,0)</f>
        <v>0</v>
      </c>
      <c r="H110" s="56">
        <f>IF('Q travel'!$B$82 = $A110,H$108*$E28,0)</f>
        <v>0</v>
      </c>
      <c r="I110" s="56">
        <f>IF('Q travel'!$B$83 = $A110,I$108*$E28,0)</f>
        <v>0</v>
      </c>
      <c r="J110" s="56">
        <f>IF('Q travel'!$B$84 = $A110,J$108*$E28,0)</f>
        <v>0</v>
      </c>
      <c r="K110" s="136">
        <f>IF('Q travel'!$B$85 = $A110,K$108*$E28,0)</f>
        <v>0</v>
      </c>
    </row>
    <row r="111" spans="1:11">
      <c r="A111" s="178" t="str">
        <f t="shared" si="13"/>
        <v>Black cab</v>
      </c>
      <c r="B111" s="135">
        <f>IF('Q travel'!$B$76 = $A111,B$108*$E29,0)</f>
        <v>0</v>
      </c>
      <c r="C111" s="56">
        <f>IF('Q travel'!$B$77 = $A111,C$108*$E29,0)</f>
        <v>0</v>
      </c>
      <c r="D111" s="56">
        <f>IF('Q travel'!$B$78 = $A111,D$108*$E29,0)</f>
        <v>0</v>
      </c>
      <c r="E111" s="56">
        <f>IF('Q travel'!$B$79 = $A111,E$108*$E29,0)</f>
        <v>0</v>
      </c>
      <c r="F111" s="56">
        <f>IF('Q travel'!$B$80 = $A111,F$108*$E29,0)</f>
        <v>0</v>
      </c>
      <c r="G111" s="56">
        <f>IF('Q travel'!$B$81 = $A111,G$108*$E29,0)</f>
        <v>0</v>
      </c>
      <c r="H111" s="56">
        <f>IF('Q travel'!$B$82 = $A111,H$108*$E29,0)</f>
        <v>0</v>
      </c>
      <c r="I111" s="56">
        <f>IF('Q travel'!$B$83 = $A111,I$108*$E29,0)</f>
        <v>0</v>
      </c>
      <c r="J111" s="56">
        <f>IF('Q travel'!$B$84 = $A111,J$108*$E29,0)</f>
        <v>0</v>
      </c>
      <c r="K111" s="136">
        <f>IF('Q travel'!$B$85 = $A111,K$108*$E29,0)</f>
        <v>0</v>
      </c>
    </row>
    <row r="112" spans="1:11">
      <c r="A112" s="178" t="str">
        <f t="shared" si="13"/>
        <v>Local bus</v>
      </c>
      <c r="B112" s="135">
        <f>IF('Q travel'!$B$76 = $A112,B$108*$E30,0)</f>
        <v>0</v>
      </c>
      <c r="C112" s="56">
        <f>IF('Q travel'!$B$77 = $A112,C$108*$E30,0)</f>
        <v>0</v>
      </c>
      <c r="D112" s="56">
        <f>IF('Q travel'!$B$78 = $A112,D$108*$E30,0)</f>
        <v>0</v>
      </c>
      <c r="E112" s="56">
        <f>IF('Q travel'!$B$79 = $A112,E$108*$E30,0)</f>
        <v>0</v>
      </c>
      <c r="F112" s="56">
        <f>IF('Q travel'!$B$80 = $A112,F$108*$E30,0)</f>
        <v>0</v>
      </c>
      <c r="G112" s="56">
        <f>IF('Q travel'!$B$81 = $A112,G$108*$E30,0)</f>
        <v>0</v>
      </c>
      <c r="H112" s="56">
        <f>IF('Q travel'!$B$82 = $A112,H$108*$E30,0)</f>
        <v>0</v>
      </c>
      <c r="I112" s="56">
        <f>IF('Q travel'!$B$83 = $A112,I$108*$E30,0)</f>
        <v>0</v>
      </c>
      <c r="J112" s="56">
        <f>IF('Q travel'!$B$84 = $A112,J$108*$E30,0)</f>
        <v>0</v>
      </c>
      <c r="K112" s="136">
        <f>IF('Q travel'!$B$85 = $A112,K$108*$E30,0)</f>
        <v>0</v>
      </c>
    </row>
    <row r="113" spans="1:11">
      <c r="A113" s="178" t="str">
        <f t="shared" si="13"/>
        <v>London bus</v>
      </c>
      <c r="B113" s="135">
        <f>IF('Q travel'!$B$76 = $A113,B$108*$E31,0)</f>
        <v>0</v>
      </c>
      <c r="C113" s="56">
        <f>IF('Q travel'!$B$77 = $A113,C$108*$E31,0)</f>
        <v>0</v>
      </c>
      <c r="D113" s="56">
        <f>IF('Q travel'!$B$78 = $A113,D$108*$E31,0)</f>
        <v>0</v>
      </c>
      <c r="E113" s="56">
        <f>IF('Q travel'!$B$79 = $A113,E$108*$E31,0)</f>
        <v>0</v>
      </c>
      <c r="F113" s="56">
        <f>IF('Q travel'!$B$80 = $A113,F$108*$E31,0)</f>
        <v>0</v>
      </c>
      <c r="G113" s="56">
        <f>IF('Q travel'!$B$81 = $A113,G$108*$E31,0)</f>
        <v>0</v>
      </c>
      <c r="H113" s="56">
        <f>IF('Q travel'!$B$82 = $A113,H$108*$E31,0)</f>
        <v>0</v>
      </c>
      <c r="I113" s="56">
        <f>IF('Q travel'!$B$83 = $A113,I$108*$E31,0)</f>
        <v>0</v>
      </c>
      <c r="J113" s="56">
        <f>IF('Q travel'!$B$84 = $A113,J$108*$E31,0)</f>
        <v>0</v>
      </c>
      <c r="K113" s="136">
        <f>IF('Q travel'!$B$85 = $A113,K$108*$E31,0)</f>
        <v>0</v>
      </c>
    </row>
    <row r="114" spans="1:11">
      <c r="A114" s="178" t="str">
        <f t="shared" si="13"/>
        <v>Coach</v>
      </c>
      <c r="B114" s="135">
        <f>IF('Q travel'!$B$76 = $A114,B$108*$E32,0)</f>
        <v>0</v>
      </c>
      <c r="C114" s="56">
        <f>IF('Q travel'!$B$77 = $A114,C$108*$E32,0)</f>
        <v>0</v>
      </c>
      <c r="D114" s="56">
        <f>IF('Q travel'!$B$78 = $A114,D$108*$E32,0)</f>
        <v>0</v>
      </c>
      <c r="E114" s="56">
        <f>IF('Q travel'!$B$79 = $A114,E$108*$E32,0)</f>
        <v>0</v>
      </c>
      <c r="F114" s="56">
        <f>IF('Q travel'!$B$80 = $A114,F$108*$E32,0)</f>
        <v>0</v>
      </c>
      <c r="G114" s="56">
        <f>IF('Q travel'!$B$81 = $A114,G$108*$E32,0)</f>
        <v>0</v>
      </c>
      <c r="H114" s="56">
        <f>IF('Q travel'!$B$82 = $A114,H$108*$E32,0)</f>
        <v>0</v>
      </c>
      <c r="I114" s="56">
        <f>IF('Q travel'!$B$83 = $A114,I$108*$E32,0)</f>
        <v>0</v>
      </c>
      <c r="J114" s="56">
        <f>IF('Q travel'!$B$84 = $A114,J$108*$E32,0)</f>
        <v>0</v>
      </c>
      <c r="K114" s="136">
        <f>IF('Q travel'!$B$85 = $A114,K$108*$E32,0)</f>
        <v>0</v>
      </c>
    </row>
    <row r="115" spans="1:11">
      <c r="A115" s="178" t="str">
        <f t="shared" si="13"/>
        <v>Eurostar</v>
      </c>
      <c r="B115" s="135">
        <f>IF('Q travel'!$B$76 = $A115,B$108*$E33,0)</f>
        <v>0</v>
      </c>
      <c r="C115" s="56">
        <f>IF('Q travel'!$B$77 = $A115,C$108*$E33,0)</f>
        <v>0</v>
      </c>
      <c r="D115" s="56">
        <f>IF('Q travel'!$B$78 = $A115,D$108*$E33,0)</f>
        <v>0</v>
      </c>
      <c r="E115" s="56">
        <f>IF('Q travel'!$B$79 = $A115,E$108*$E33,0)</f>
        <v>0</v>
      </c>
      <c r="F115" s="56">
        <f>IF('Q travel'!$B$80 = $A115,F$108*$E33,0)</f>
        <v>0</v>
      </c>
      <c r="G115" s="56">
        <f>IF('Q travel'!$B$81 = $A115,G$108*$E33,0)</f>
        <v>0</v>
      </c>
      <c r="H115" s="56">
        <f>IF('Q travel'!$B$82 = $A115,H$108*$E33,0)</f>
        <v>0</v>
      </c>
      <c r="I115" s="56">
        <f>IF('Q travel'!$B$83 = $A115,I$108*$E33,0)</f>
        <v>0</v>
      </c>
      <c r="J115" s="56">
        <f>IF('Q travel'!$B$84 = $A115,J$108*$E33,0)</f>
        <v>0</v>
      </c>
      <c r="K115" s="136">
        <f>IF('Q travel'!$B$85 = $A115,K$108*$E33,0)</f>
        <v>0</v>
      </c>
    </row>
    <row r="116" spans="1:11">
      <c r="A116" s="178" t="str">
        <f>'Q travel'!I83</f>
        <v>European rail</v>
      </c>
      <c r="B116" s="135">
        <f>IF('Q travel'!$B$76 = $A116,B$108*$E34,0)</f>
        <v>0</v>
      </c>
      <c r="C116" s="56">
        <f>IF('Q travel'!$B$77 = $A116,C$108*$E34,0)</f>
        <v>0</v>
      </c>
      <c r="D116" s="56">
        <f>IF('Q travel'!$B$78 = $A116,D$108*$E34,0)</f>
        <v>0</v>
      </c>
      <c r="E116" s="56">
        <f>IF('Q travel'!$B$79 = $A116,E$108*$E34,0)</f>
        <v>0</v>
      </c>
      <c r="F116" s="56">
        <f>IF('Q travel'!$B$80 = $A116,F$108*$E34,0)</f>
        <v>0</v>
      </c>
      <c r="G116" s="56">
        <f>IF('Q travel'!$B$81 = $A116,G$108*$E34,0)</f>
        <v>0</v>
      </c>
      <c r="H116" s="56">
        <f>IF('Q travel'!$B$82 = $A116,H$108*$E34,0)</f>
        <v>0</v>
      </c>
      <c r="I116" s="56">
        <f>IF('Q travel'!$B$83 = $A116,I$108*$E34,0)</f>
        <v>0</v>
      </c>
      <c r="J116" s="56">
        <f>IF('Q travel'!$B$84 = $A116,J$108*$E34,0)</f>
        <v>0</v>
      </c>
      <c r="K116" s="136">
        <f>IF('Q travel'!$B$85 = $A116,K$108*$E34,0)</f>
        <v>0</v>
      </c>
    </row>
    <row r="117" spans="1:11">
      <c r="A117" s="178" t="str">
        <f>A35</f>
        <v>London underground</v>
      </c>
      <c r="B117" s="135">
        <f>IF('Q travel'!$B$76 = $A117,B$108*$E35,0)</f>
        <v>0</v>
      </c>
      <c r="C117" s="56">
        <f>IF('Q travel'!$B$77 = $A117,C$108*$E35,0)</f>
        <v>0</v>
      </c>
      <c r="D117" s="56">
        <f>IF('Q travel'!$B$78 = $A117,D$108*$E35,0)</f>
        <v>0</v>
      </c>
      <c r="E117" s="56">
        <f>IF('Q travel'!$B$79 = $A117,E$108*$E35,0)</f>
        <v>0</v>
      </c>
      <c r="F117" s="56">
        <f>IF('Q travel'!$B$80 = $A117,F$108*$E35,0)</f>
        <v>0</v>
      </c>
      <c r="G117" s="56">
        <f>IF('Q travel'!$B$81 = $A117,G$108*$E35,0)</f>
        <v>0</v>
      </c>
      <c r="H117" s="56">
        <f>IF('Q travel'!$B$82 = $A117,H$108*$E35,0)</f>
        <v>0</v>
      </c>
      <c r="I117" s="56">
        <f>IF('Q travel'!$B$83 = $A117,I$108*$E35,0)</f>
        <v>0</v>
      </c>
      <c r="J117" s="56">
        <f>IF('Q travel'!$B$84 = $A117,J$108*$E35,0)</f>
        <v>0</v>
      </c>
      <c r="K117" s="136">
        <f>IF('Q travel'!$B$85 = $A117,K$108*$E35,0)</f>
        <v>0</v>
      </c>
    </row>
    <row r="118" spans="1:11">
      <c r="A118" s="178" t="str">
        <f>A36</f>
        <v>Foot passenger ferry</v>
      </c>
      <c r="B118" s="135">
        <f>IF('Q travel'!$B$76 = $A118,B$108*$E36,0)</f>
        <v>0</v>
      </c>
      <c r="C118" s="56">
        <f>IF('Q travel'!$B$77 = $A118,C$108*$E36,0)</f>
        <v>0</v>
      </c>
      <c r="D118" s="56">
        <f>IF('Q travel'!$B$78 = $A118,D$108*$E36,0)</f>
        <v>0</v>
      </c>
      <c r="E118" s="56">
        <f>IF('Q travel'!$B$79 = $A118,E$108*$E36,0)</f>
        <v>0</v>
      </c>
      <c r="F118" s="56">
        <f>IF('Q travel'!$B$80 = $A118,F$108*$E36,0)</f>
        <v>0</v>
      </c>
      <c r="G118" s="56">
        <f>IF('Q travel'!$B$81 = $A118,G$108*$E36,0)</f>
        <v>0</v>
      </c>
      <c r="H118" s="56">
        <f>IF('Q travel'!$B$82 = $A118,H$108*$E36,0)</f>
        <v>0</v>
      </c>
      <c r="I118" s="56">
        <f>IF('Q travel'!$B$83 = $A118,I$108*$E36,0)</f>
        <v>0</v>
      </c>
      <c r="J118" s="56">
        <f>IF('Q travel'!$B$84 = $A118,J$108*$E36,0)</f>
        <v>0</v>
      </c>
      <c r="K118" s="136">
        <f>IF('Q travel'!$B$85 = $A118,K$108*$E36,0)</f>
        <v>0</v>
      </c>
    </row>
    <row r="119" spans="1:11">
      <c r="A119" s="178" t="str">
        <f>A37</f>
        <v>Car passenger ferry</v>
      </c>
      <c r="B119" s="135">
        <f>IF('Q travel'!$B$76 = $A119,B$108*$E37,0)</f>
        <v>0</v>
      </c>
      <c r="C119" s="56">
        <f>IF('Q travel'!$B$77 = $A119,C$108*$E37,0)</f>
        <v>0</v>
      </c>
      <c r="D119" s="56">
        <f>IF('Q travel'!$B$78 = $A119,D$108*$E37,0)</f>
        <v>0</v>
      </c>
      <c r="E119" s="56">
        <f>IF('Q travel'!$B$79 = $A119,E$108*$E37,0)</f>
        <v>0</v>
      </c>
      <c r="F119" s="56">
        <f>IF('Q travel'!$B$80 = $A119,F$108*$E37,0)</f>
        <v>0</v>
      </c>
      <c r="G119" s="56">
        <f>IF('Q travel'!$B$81 = $A119,G$108*$E37,0)</f>
        <v>0</v>
      </c>
      <c r="H119" s="56">
        <f>IF('Q travel'!$B$82 = $A119,H$108*$E37,0)</f>
        <v>0</v>
      </c>
      <c r="I119" s="56">
        <f>IF('Q travel'!$B$83 = $A119,I$108*$E37,0)</f>
        <v>0</v>
      </c>
      <c r="J119" s="56">
        <f>IF('Q travel'!$B$84 = $A119,J$108*$E37,0)</f>
        <v>0</v>
      </c>
      <c r="K119" s="136">
        <f>IF('Q travel'!$B$85 = $A119,K$108*$E37,0)</f>
        <v>0</v>
      </c>
    </row>
    <row r="120" spans="1:11" ht="13" thickBot="1">
      <c r="A120" s="179" t="str">
        <f>A38</f>
        <v>Pool car (eg zipcar)</v>
      </c>
      <c r="B120" s="166">
        <f>IF('Q travel'!$B$76 = $A120,B$108*$E38,0)</f>
        <v>0</v>
      </c>
      <c r="C120" s="146">
        <f>IF('Q travel'!$B$77 = $A120,C$108*$E38,0)</f>
        <v>0</v>
      </c>
      <c r="D120" s="146">
        <f>IF('Q travel'!$B$78 = $A120,D$108*$E38,0)</f>
        <v>0</v>
      </c>
      <c r="E120" s="146">
        <f>IF('Q travel'!$B$79 = $A120,E$108*$E38,0)</f>
        <v>0</v>
      </c>
      <c r="F120" s="146">
        <f>IF('Q travel'!$B$80 = $A120,F$108*$E38,0)</f>
        <v>0</v>
      </c>
      <c r="G120" s="146">
        <f>IF('Q travel'!$B$81 = $A120,G$108*$E38,0)</f>
        <v>0</v>
      </c>
      <c r="H120" s="146">
        <f>IF('Q travel'!$B$82 = $A120,H$108*$E38,0)</f>
        <v>0</v>
      </c>
      <c r="I120" s="146">
        <f>IF('Q travel'!$B$83 = $A120,I$108*$E38,0)</f>
        <v>0</v>
      </c>
      <c r="J120" s="146">
        <f>IF('Q travel'!$B$84 = $A120,J$108*$E38,0)</f>
        <v>0</v>
      </c>
      <c r="K120" s="147">
        <f>IF('Q travel'!$B$85 = $A120,K$108*$E38,0)</f>
        <v>0</v>
      </c>
    </row>
    <row r="121" spans="1:11" ht="13.5" thickBot="1">
      <c r="A121" s="174" t="s">
        <v>434</v>
      </c>
      <c r="B121" s="180">
        <f t="shared" ref="B121:K121" si="14">SUM(B109:B120)</f>
        <v>0</v>
      </c>
      <c r="C121" s="175">
        <f t="shared" si="14"/>
        <v>0</v>
      </c>
      <c r="D121" s="175">
        <f t="shared" si="14"/>
        <v>0</v>
      </c>
      <c r="E121" s="175">
        <f t="shared" si="14"/>
        <v>0</v>
      </c>
      <c r="F121" s="175">
        <f t="shared" si="14"/>
        <v>0</v>
      </c>
      <c r="G121" s="175">
        <f t="shared" si="14"/>
        <v>0</v>
      </c>
      <c r="H121" s="175">
        <f t="shared" si="14"/>
        <v>0</v>
      </c>
      <c r="I121" s="175">
        <f t="shared" si="14"/>
        <v>0</v>
      </c>
      <c r="J121" s="175">
        <f t="shared" si="14"/>
        <v>0</v>
      </c>
      <c r="K121" s="176">
        <f t="shared" si="14"/>
        <v>0</v>
      </c>
    </row>
    <row r="122" spans="1:11">
      <c r="B122" s="54"/>
      <c r="C122" s="54"/>
      <c r="D122" s="54"/>
      <c r="E122" s="54"/>
      <c r="F122" s="54"/>
      <c r="G122" s="54"/>
      <c r="H122" s="54"/>
      <c r="I122" s="54"/>
    </row>
    <row r="123" spans="1:11" ht="13">
      <c r="A123" s="19" t="s">
        <v>567</v>
      </c>
      <c r="B123" s="54"/>
      <c r="C123" s="54"/>
      <c r="D123" s="54"/>
      <c r="E123" s="54"/>
      <c r="F123" s="54"/>
      <c r="G123" s="54"/>
      <c r="H123" s="54"/>
      <c r="I123" s="54"/>
    </row>
    <row r="124" spans="1:11">
      <c r="A124" s="820" t="s">
        <v>156</v>
      </c>
      <c r="B124" s="817"/>
      <c r="C124" s="817"/>
    </row>
    <row r="125" spans="1:11">
      <c r="A125" s="189" t="s">
        <v>155</v>
      </c>
      <c r="B125" s="29">
        <f>'Q travel'!F36*1000</f>
        <v>0</v>
      </c>
      <c r="C125" t="s">
        <v>158</v>
      </c>
    </row>
    <row r="126" spans="1:11">
      <c r="A126" s="189" t="s">
        <v>157</v>
      </c>
      <c r="B126" s="29">
        <f>J81</f>
        <v>0</v>
      </c>
      <c r="C126" t="s">
        <v>159</v>
      </c>
    </row>
    <row r="127" spans="1:11">
      <c r="A127" s="189" t="s">
        <v>160</v>
      </c>
      <c r="B127" s="29">
        <f>B125-B126</f>
        <v>0</v>
      </c>
    </row>
    <row r="128" spans="1:11">
      <c r="A128" s="65"/>
      <c r="B128" s="41"/>
    </row>
    <row r="130" spans="1:11" ht="13">
      <c r="A130" s="79" t="s">
        <v>568</v>
      </c>
    </row>
    <row r="131" spans="1:11" ht="13">
      <c r="A131" s="79" t="s">
        <v>562</v>
      </c>
    </row>
    <row r="132" spans="1:11" ht="13" thickBot="1">
      <c r="A132" t="s">
        <v>569</v>
      </c>
    </row>
    <row r="133" spans="1:11" ht="31.5" customHeight="1" thickBot="1">
      <c r="A133" s="153" t="s">
        <v>529</v>
      </c>
      <c r="B133" s="151" t="s">
        <v>112</v>
      </c>
      <c r="C133" s="152" t="s">
        <v>113</v>
      </c>
      <c r="D133" s="154" t="s">
        <v>530</v>
      </c>
      <c r="E133" s="154" t="s">
        <v>531</v>
      </c>
      <c r="F133" s="154" t="s">
        <v>532</v>
      </c>
      <c r="G133" s="154" t="s">
        <v>430</v>
      </c>
      <c r="H133" s="154" t="s">
        <v>431</v>
      </c>
      <c r="I133" s="155" t="s">
        <v>432</v>
      </c>
      <c r="J133" s="156" t="s">
        <v>369</v>
      </c>
      <c r="K133" s="103"/>
    </row>
    <row r="134" spans="1:11" ht="14.25" customHeight="1" thickBot="1">
      <c r="A134" s="194" t="s">
        <v>67</v>
      </c>
      <c r="B134" s="195"/>
      <c r="C134" s="196"/>
      <c r="D134" s="197">
        <f>'Q travel'!$C104*'Q travel'!$D104*'Q travel'!$E104</f>
        <v>0</v>
      </c>
      <c r="E134" s="197">
        <f>'Q travel'!C105*'Q travel'!D105*'Q travel'!E105</f>
        <v>0</v>
      </c>
      <c r="F134" s="197">
        <f>'Q travel'!C106*'Q travel'!D106*'Q travel'!E106</f>
        <v>0</v>
      </c>
      <c r="G134" s="197">
        <f>'Q travel'!$C107*'Q travel'!$D107*'Q travel'!$E107</f>
        <v>0</v>
      </c>
      <c r="H134" s="197">
        <f>'Q travel'!$C108*'Q travel'!$D108*'Q travel'!$E108</f>
        <v>0</v>
      </c>
      <c r="I134" s="197">
        <f>'Q travel'!$C109*'Q travel'!$D109*'Q travel'!$E109</f>
        <v>0</v>
      </c>
      <c r="J134" s="198" t="s">
        <v>109</v>
      </c>
      <c r="K134" s="103"/>
    </row>
    <row r="135" spans="1:11">
      <c r="A135" s="163" t="s">
        <v>475</v>
      </c>
      <c r="B135" s="59">
        <f>'Q travel'!$F$16</f>
        <v>0</v>
      </c>
      <c r="C135" s="193">
        <f>$B$78*$D$7*1.15/1000</f>
        <v>0</v>
      </c>
      <c r="D135" s="59">
        <f>IF('Q travel'!$B$104='qt calcs'!$A135,D$134*$C135,0)</f>
        <v>0</v>
      </c>
      <c r="E135" s="59">
        <f>IF('Q travel'!$B$105='qt calcs'!$A135,E$134*$C135,0)</f>
        <v>0</v>
      </c>
      <c r="F135" s="59">
        <f>IF('Q travel'!$B$106='qt calcs'!$A135,F$134*$C135,0)</f>
        <v>0</v>
      </c>
      <c r="G135" s="59">
        <f>IF('Q travel'!$B$107='qt calcs'!$A135,G$134*$C135,0)</f>
        <v>0</v>
      </c>
      <c r="H135" s="59">
        <f>IF('Q travel'!$B$108='qt calcs'!$A135,H$134*$C135,0)</f>
        <v>0</v>
      </c>
      <c r="I135" s="140">
        <f>IF('Q travel'!$B$109='qt calcs'!$A135,I$134*$C135,0)</f>
        <v>0</v>
      </c>
      <c r="J135" s="172">
        <f>SUM(D135:I135)</f>
        <v>0</v>
      </c>
      <c r="K135" s="47"/>
    </row>
    <row r="136" spans="1:11">
      <c r="A136" s="135" t="s">
        <v>476</v>
      </c>
      <c r="B136" s="56">
        <f>'Q travel'!$F$24</f>
        <v>0</v>
      </c>
      <c r="C136" s="111">
        <f>$B$79*$D$7*1.15/1000</f>
        <v>0</v>
      </c>
      <c r="D136" s="56">
        <f>IF('Q travel'!$B$104='qt calcs'!$A136,D$134*$C136,0)</f>
        <v>0</v>
      </c>
      <c r="E136" s="56">
        <f>IF('Q travel'!$B$105='qt calcs'!$A136,E$134*$C136,0)</f>
        <v>0</v>
      </c>
      <c r="F136" s="56">
        <f>IF('Q travel'!$B$106='qt calcs'!$A136,F$134*$C136,0)</f>
        <v>0</v>
      </c>
      <c r="G136" s="56">
        <f>IF('Q travel'!$B$107='qt calcs'!$A136,G$134*$C136,0)</f>
        <v>0</v>
      </c>
      <c r="H136" s="56">
        <f>IF('Q travel'!$B$108='qt calcs'!$A136,H$134*$C136,0)</f>
        <v>0</v>
      </c>
      <c r="I136" s="136">
        <f>IF('Q travel'!$B$109='qt calcs'!$A136,I$134*$C136,0)</f>
        <v>0</v>
      </c>
      <c r="J136" s="127">
        <f>SUM(D136:I136)</f>
        <v>0</v>
      </c>
      <c r="K136" s="47"/>
    </row>
    <row r="137" spans="1:11" ht="13" thickBot="1">
      <c r="A137" s="137" t="s">
        <v>477</v>
      </c>
      <c r="B137" s="116">
        <f>'Q travel'!$F$32</f>
        <v>0</v>
      </c>
      <c r="C137" s="117">
        <f>$B$80*$D$7*1.15/1000</f>
        <v>0</v>
      </c>
      <c r="D137" s="116">
        <f>IF('Q travel'!$B$104='qt calcs'!$A137,D$134*$C137,0)</f>
        <v>0</v>
      </c>
      <c r="E137" s="116">
        <f>IF('Q travel'!$B$105='qt calcs'!$A137,E$134*$C137,0)</f>
        <v>0</v>
      </c>
      <c r="F137" s="116">
        <f>IF('Q travel'!$B$106='qt calcs'!$A137,F$134*$C137,0)</f>
        <v>0</v>
      </c>
      <c r="G137" s="116">
        <f>IF('Q travel'!$B$107='qt calcs'!$A137,G$134*$C137,0)</f>
        <v>0</v>
      </c>
      <c r="H137" s="116">
        <f>IF('Q travel'!$B$108='qt calcs'!$A137,H$134*$C137,0)</f>
        <v>0</v>
      </c>
      <c r="I137" s="138">
        <f>IF('Q travel'!$B$109='qt calcs'!$A137,I$134*$C137,0)</f>
        <v>0</v>
      </c>
      <c r="J137" s="128">
        <f>SUM(D137:I137)</f>
        <v>0</v>
      </c>
      <c r="K137" s="47"/>
    </row>
    <row r="138" spans="1:11" ht="12" customHeight="1" thickBot="1">
      <c r="A138" s="118" t="s">
        <v>114</v>
      </c>
      <c r="B138" s="119"/>
      <c r="C138" s="119"/>
      <c r="D138" s="119">
        <f t="shared" ref="D138:I138" si="15">SUM(D135:D137)</f>
        <v>0</v>
      </c>
      <c r="E138" s="119">
        <f t="shared" si="15"/>
        <v>0</v>
      </c>
      <c r="F138" s="119">
        <f t="shared" si="15"/>
        <v>0</v>
      </c>
      <c r="G138" s="119">
        <f t="shared" si="15"/>
        <v>0</v>
      </c>
      <c r="H138" s="119">
        <f t="shared" si="15"/>
        <v>0</v>
      </c>
      <c r="I138" s="120">
        <f t="shared" si="15"/>
        <v>0</v>
      </c>
      <c r="J138" s="129">
        <f>SUM(D138:I138)</f>
        <v>0</v>
      </c>
      <c r="K138" s="47"/>
    </row>
    <row r="139" spans="1:11" ht="12" customHeight="1">
      <c r="A139" s="139" t="s">
        <v>232</v>
      </c>
      <c r="B139" s="59"/>
      <c r="C139" s="59"/>
      <c r="D139" s="59" t="e">
        <f>'Q travel'!$F104/('Q travel'!$F104+'Q travel'!$G104)</f>
        <v>#DIV/0!</v>
      </c>
      <c r="E139" s="59" t="e">
        <f>'Q travel'!$F105/('Q travel'!$F105+'Q travel'!$G105)</f>
        <v>#DIV/0!</v>
      </c>
      <c r="F139" s="59" t="e">
        <f>'Q travel'!$F106/('Q travel'!$F106+'Q travel'!$G106)</f>
        <v>#DIV/0!</v>
      </c>
      <c r="G139" s="59" t="e">
        <f>'Q travel'!$F107/('Q travel'!$F107+'Q travel'!$G107)</f>
        <v>#DIV/0!</v>
      </c>
      <c r="H139" s="59" t="e">
        <f>'Q travel'!$F108/('Q travel'!$F108+'Q travel'!$G108)</f>
        <v>#DIV/0!</v>
      </c>
      <c r="I139" s="140" t="e">
        <f>'Q travel'!$F109/('Q travel'!$F109+'Q travel'!$G109)</f>
        <v>#DIV/0!</v>
      </c>
      <c r="J139" s="130"/>
      <c r="K139" s="47"/>
    </row>
    <row r="140" spans="1:11" ht="12" customHeight="1">
      <c r="A140" s="141" t="s">
        <v>234</v>
      </c>
      <c r="B140" s="66"/>
      <c r="C140" s="66"/>
      <c r="D140" s="48" t="str">
        <f t="shared" ref="D140:I140" si="16">IF(ISERROR(D139),"0",D139)</f>
        <v>0</v>
      </c>
      <c r="E140" s="48" t="str">
        <f t="shared" si="16"/>
        <v>0</v>
      </c>
      <c r="F140" s="48" t="str">
        <f t="shared" si="16"/>
        <v>0</v>
      </c>
      <c r="G140" s="48" t="str">
        <f t="shared" si="16"/>
        <v>0</v>
      </c>
      <c r="H140" s="48" t="str">
        <f t="shared" si="16"/>
        <v>0</v>
      </c>
      <c r="I140" s="142" t="str">
        <f t="shared" si="16"/>
        <v>0</v>
      </c>
      <c r="J140" s="131"/>
      <c r="K140" s="47"/>
    </row>
    <row r="141" spans="1:11">
      <c r="A141" s="143" t="s">
        <v>68</v>
      </c>
      <c r="B141" s="77"/>
      <c r="C141" s="77"/>
      <c r="D141" s="56">
        <f t="shared" ref="D141:I141" si="17">D138-D142</f>
        <v>0</v>
      </c>
      <c r="E141" s="56">
        <f t="shared" si="17"/>
        <v>0</v>
      </c>
      <c r="F141" s="56">
        <f t="shared" si="17"/>
        <v>0</v>
      </c>
      <c r="G141" s="56">
        <f t="shared" si="17"/>
        <v>0</v>
      </c>
      <c r="H141" s="56">
        <f t="shared" si="17"/>
        <v>0</v>
      </c>
      <c r="I141" s="136">
        <f t="shared" si="17"/>
        <v>0</v>
      </c>
      <c r="J141" s="132">
        <f>SUM(D141:I141)</f>
        <v>0</v>
      </c>
      <c r="K141" s="47"/>
    </row>
    <row r="142" spans="1:11" ht="13.5" thickBot="1">
      <c r="A142" s="144" t="s">
        <v>233</v>
      </c>
      <c r="B142" s="145"/>
      <c r="C142" s="145"/>
      <c r="D142" s="148">
        <f t="shared" ref="D142:I142" si="18">D138*D140</f>
        <v>0</v>
      </c>
      <c r="E142" s="148">
        <f t="shared" si="18"/>
        <v>0</v>
      </c>
      <c r="F142" s="148">
        <f t="shared" si="18"/>
        <v>0</v>
      </c>
      <c r="G142" s="148">
        <f t="shared" si="18"/>
        <v>0</v>
      </c>
      <c r="H142" s="148">
        <f t="shared" si="18"/>
        <v>0</v>
      </c>
      <c r="I142" s="149">
        <f t="shared" si="18"/>
        <v>0</v>
      </c>
      <c r="J142" s="150">
        <f>SUM(D142:I142)</f>
        <v>0</v>
      </c>
      <c r="K142" s="47"/>
    </row>
    <row r="145" spans="1:9" ht="13">
      <c r="A145" s="19" t="s">
        <v>66</v>
      </c>
    </row>
    <row r="146" spans="1:9" ht="13" thickBot="1"/>
    <row r="147" spans="1:9" ht="24.75" customHeight="1" thickBot="1">
      <c r="A147" s="160" t="s">
        <v>489</v>
      </c>
      <c r="B147" s="161" t="s">
        <v>115</v>
      </c>
      <c r="C147" s="162" t="s">
        <v>427</v>
      </c>
      <c r="D147" s="162" t="s">
        <v>428</v>
      </c>
      <c r="E147" s="162" t="s">
        <v>429</v>
      </c>
      <c r="F147" s="162" t="s">
        <v>430</v>
      </c>
      <c r="G147" s="162" t="s">
        <v>431</v>
      </c>
      <c r="H147" s="167" t="s">
        <v>432</v>
      </c>
      <c r="I147" s="169" t="s">
        <v>369</v>
      </c>
    </row>
    <row r="148" spans="1:9" ht="24.75" customHeight="1" thickBot="1">
      <c r="A148" s="191" t="s">
        <v>67</v>
      </c>
      <c r="B148" s="203"/>
      <c r="C148" s="204">
        <f>'Q travel'!$C117*'Q travel'!$D117*'Q travel'!$E117</f>
        <v>0</v>
      </c>
      <c r="D148" s="204">
        <f>'Q travel'!$C118*'Q travel'!$D118*'Q travel'!$E118</f>
        <v>0</v>
      </c>
      <c r="E148" s="204">
        <f>'Q travel'!$C119*'Q travel'!$D119*'Q travel'!$E119</f>
        <v>0</v>
      </c>
      <c r="F148" s="204">
        <f>'Q travel'!$C120*'Q travel'!$D120*'Q travel'!$E120</f>
        <v>0</v>
      </c>
      <c r="G148" s="204">
        <f>'Q travel'!$C121*'Q travel'!$D121*'Q travel'!$E121</f>
        <v>0</v>
      </c>
      <c r="H148" s="204">
        <f>'Q travel'!$C122*'Q travel'!$D122*'Q travel'!$E122</f>
        <v>0</v>
      </c>
      <c r="I148" s="192"/>
    </row>
    <row r="149" spans="1:9">
      <c r="A149" s="164" t="str">
        <f>A52</f>
        <v>Small car, up to 1.4l petrol engine</v>
      </c>
      <c r="B149" s="168">
        <f>C52</f>
        <v>0.15648999999999999</v>
      </c>
      <c r="C149" s="157">
        <f>IF('Q travel'!$B$117=A149,$B149*C$148,0)</f>
        <v>0</v>
      </c>
      <c r="D149" s="157">
        <f>IF('Q travel'!$B$118=A149,$B149*D$148,0)</f>
        <v>0</v>
      </c>
      <c r="E149" s="157">
        <f>IF('Q travel'!$B$119=A149,$B149*E$148,0)</f>
        <v>0</v>
      </c>
      <c r="F149" s="157">
        <f>IF('Q travel'!$B$120=A149,$B149*F$148,0)</f>
        <v>0</v>
      </c>
      <c r="G149" s="157">
        <f>IF('Q travel'!$B$121=A149,$B149*G$148,0)</f>
        <v>0</v>
      </c>
      <c r="H149" s="165">
        <f>IF('Q travel'!$B$122=A149,$B149*H$148,0)</f>
        <v>0</v>
      </c>
      <c r="I149" s="170"/>
    </row>
    <row r="150" spans="1:9">
      <c r="A150" s="135" t="str">
        <f t="shared" ref="A150:A159" si="19">A53</f>
        <v>Medium car 1.4-2l petrol engine</v>
      </c>
      <c r="B150" s="124">
        <f t="shared" ref="B150:B159" si="20">C53</f>
        <v>0.19489999999999999</v>
      </c>
      <c r="C150" s="56">
        <f>IF('Q travel'!$B$117=A150,$B150*C$148,0)</f>
        <v>0</v>
      </c>
      <c r="D150" s="56">
        <f>IF('Q travel'!$B$118=A150,$B150*D$148,0)</f>
        <v>0</v>
      </c>
      <c r="E150" s="56">
        <f>IF('Q travel'!$B$119=A150,$B150*E$148,0)</f>
        <v>0</v>
      </c>
      <c r="F150" s="56">
        <f>IF('Q travel'!$B$120=A150,$B150*F$148,0)</f>
        <v>0</v>
      </c>
      <c r="G150" s="56">
        <f>IF('Q travel'!$B$121=A150,$B150*G$148,0)</f>
        <v>0</v>
      </c>
      <c r="H150" s="136">
        <f>IF('Q travel'!$B$122=A150,$B150*H$148,0)</f>
        <v>0</v>
      </c>
      <c r="I150" s="127"/>
    </row>
    <row r="151" spans="1:9">
      <c r="A151" s="135" t="str">
        <f t="shared" si="19"/>
        <v>Large car above 2l petrol engine</v>
      </c>
      <c r="B151" s="56">
        <f t="shared" si="20"/>
        <v>0.28538999999999998</v>
      </c>
      <c r="C151" s="93">
        <f>IF('Q travel'!$B$117=A151,$B151*C$148,0)</f>
        <v>0</v>
      </c>
      <c r="D151" s="56">
        <f>IF('Q travel'!$B$118=A151,$B151*D$148,0)</f>
        <v>0</v>
      </c>
      <c r="E151" s="56">
        <f>IF('Q travel'!$B$119=A151,$B151*E$148,0)</f>
        <v>0</v>
      </c>
      <c r="F151" s="56">
        <f>IF('Q travel'!$B$120=A151,$B151*F$148,0)</f>
        <v>0</v>
      </c>
      <c r="G151" s="56">
        <f>IF('Q travel'!$B$121=A151,$B151*G$148,0)</f>
        <v>0</v>
      </c>
      <c r="H151" s="136">
        <f>IF('Q travel'!$B$122=A151,$B151*H$148,0)</f>
        <v>0</v>
      </c>
      <c r="I151" s="127"/>
    </row>
    <row r="152" spans="1:9">
      <c r="A152" s="135" t="str">
        <f t="shared" si="19"/>
        <v>Small car up to 1.7l diesel engine</v>
      </c>
      <c r="B152" s="56">
        <f t="shared" si="20"/>
        <v>0.14545</v>
      </c>
      <c r="C152" s="93">
        <f>IF('Q travel'!$B$117=A152,$B152*C$148,0)</f>
        <v>0</v>
      </c>
      <c r="D152" s="56">
        <f>IF('Q travel'!$B$118=A152,$B152*D$148,0)</f>
        <v>0</v>
      </c>
      <c r="E152" s="56">
        <f>IF('Q travel'!$B$119=A152,$B152*E$148,0)</f>
        <v>0</v>
      </c>
      <c r="F152" s="56">
        <f>IF('Q travel'!$B$120=A152,$B152*F$148,0)</f>
        <v>0</v>
      </c>
      <c r="G152" s="56">
        <f>IF('Q travel'!$B$121=A152,$B152*G$148,0)</f>
        <v>0</v>
      </c>
      <c r="H152" s="136">
        <f>IF('Q travel'!$B$122=A152,$B152*H$148,0)</f>
        <v>0</v>
      </c>
      <c r="I152" s="127"/>
    </row>
    <row r="153" spans="1:9">
      <c r="A153" s="135" t="str">
        <f t="shared" si="19"/>
        <v>Medium car 1.7-2l diesel engine</v>
      </c>
      <c r="B153" s="56">
        <f t="shared" si="20"/>
        <v>0.17380000000000001</v>
      </c>
      <c r="C153" s="93">
        <f>IF('Q travel'!$B$117=A153,$B153*C$148,0)</f>
        <v>0</v>
      </c>
      <c r="D153" s="56">
        <f>IF('Q travel'!$B$118=A153,$B153*D$148,0)</f>
        <v>0</v>
      </c>
      <c r="E153" s="56">
        <f>IF('Q travel'!$B$119=A153,$B153*E$148,0)</f>
        <v>0</v>
      </c>
      <c r="F153" s="56">
        <f>IF('Q travel'!$B$120=A153,$B153*F$148,0)</f>
        <v>0</v>
      </c>
      <c r="G153" s="56">
        <f>IF('Q travel'!$B$121=A153,$B153*G$148,0)</f>
        <v>0</v>
      </c>
      <c r="H153" s="136">
        <f>IF('Q travel'!$B$122=A153,$B153*H$148,0)</f>
        <v>0</v>
      </c>
      <c r="I153" s="127"/>
    </row>
    <row r="154" spans="1:9">
      <c r="A154" s="135" t="str">
        <f t="shared" si="19"/>
        <v>Large car above 2l diesel engine</v>
      </c>
      <c r="B154" s="56">
        <f t="shared" si="20"/>
        <v>0.21834000000000001</v>
      </c>
      <c r="C154" s="93">
        <f>IF('Q travel'!$B$117=A154,$B154*C$148,0)</f>
        <v>0</v>
      </c>
      <c r="D154" s="56">
        <f>IF('Q travel'!$B$118=A154,$B154*D$148,0)</f>
        <v>0</v>
      </c>
      <c r="E154" s="56">
        <f>IF('Q travel'!$B$119=A154,$B154*E$148,0)</f>
        <v>0</v>
      </c>
      <c r="F154" s="56">
        <f>IF('Q travel'!$B$120=A154,$B154*F$148,0)</f>
        <v>0</v>
      </c>
      <c r="G154" s="56">
        <f>IF('Q travel'!$B$121=A154,$B154*G$148,0)</f>
        <v>0</v>
      </c>
      <c r="H154" s="136">
        <f>IF('Q travel'!$B$122=A154,$B154*H$148,0)</f>
        <v>0</v>
      </c>
      <c r="I154" s="127"/>
    </row>
    <row r="155" spans="1:9">
      <c r="A155" s="135" t="str">
        <f t="shared" si="19"/>
        <v>Medium petrol hybrid car</v>
      </c>
      <c r="B155" s="56">
        <f t="shared" si="20"/>
        <v>0.11108999999999999</v>
      </c>
      <c r="C155" s="93">
        <f>IF('Q travel'!$B$117=A155,$B155*C$148,0)</f>
        <v>0</v>
      </c>
      <c r="D155" s="56">
        <f>IF('Q travel'!$B$118=A155,$B155*D$148,0)</f>
        <v>0</v>
      </c>
      <c r="E155" s="56">
        <f>IF('Q travel'!$B$119=A155,$B155*E$148,0)</f>
        <v>0</v>
      </c>
      <c r="F155" s="56">
        <f>IF('Q travel'!$B$120=A155,$B155*F$148,0)</f>
        <v>0</v>
      </c>
      <c r="G155" s="56">
        <f>IF('Q travel'!$B$121=A155,$B155*G$148,0)</f>
        <v>0</v>
      </c>
      <c r="H155" s="136">
        <f>IF('Q travel'!$B$122=A155,$B155*H$148,0)</f>
        <v>0</v>
      </c>
      <c r="I155" s="127"/>
    </row>
    <row r="156" spans="1:9">
      <c r="A156" s="135" t="str">
        <f t="shared" si="19"/>
        <v>Large petrol hybrid car</v>
      </c>
      <c r="B156" s="56">
        <f t="shared" si="20"/>
        <v>0.12895000000000001</v>
      </c>
      <c r="C156" s="93">
        <f>IF('Q travel'!$B$117=A156,$B156*C$148,0)</f>
        <v>0</v>
      </c>
      <c r="D156" s="56">
        <f>IF('Q travel'!$B$118=A156,$B156*D$148,0)</f>
        <v>0</v>
      </c>
      <c r="E156" s="56">
        <f>IF('Q travel'!$B$119=A156,$B156*E$148,0)</f>
        <v>0</v>
      </c>
      <c r="F156" s="56">
        <f>IF('Q travel'!$B$120=A156,$B156*F$148,0)</f>
        <v>0</v>
      </c>
      <c r="G156" s="56">
        <f>IF('Q travel'!$B$121=A156,$B156*G$148,0)</f>
        <v>0</v>
      </c>
      <c r="H156" s="136">
        <f>IF('Q travel'!$B$122=A156,$B156*H$148,0)</f>
        <v>0</v>
      </c>
      <c r="I156" s="127"/>
    </row>
    <row r="157" spans="1:9">
      <c r="A157" s="135" t="str">
        <f t="shared" si="19"/>
        <v>Medium LPG car</v>
      </c>
      <c r="B157" s="56">
        <f t="shared" si="20"/>
        <v>0.18254999999999999</v>
      </c>
      <c r="C157" s="93">
        <f>IF('Q travel'!$B$117=A157,$B157*C$148,0)</f>
        <v>0</v>
      </c>
      <c r="D157" s="56">
        <f>IF('Q travel'!$B$118=A157,$B157*D$148,0)</f>
        <v>0</v>
      </c>
      <c r="E157" s="56">
        <f>IF('Q travel'!$B$119=A157,$B157*E$148,0)</f>
        <v>0</v>
      </c>
      <c r="F157" s="56">
        <f>IF('Q travel'!$B$120=A157,$B157*F$148,0)</f>
        <v>0</v>
      </c>
      <c r="G157" s="56">
        <f>IF('Q travel'!$B$121=A157,$B157*G$148,0)</f>
        <v>0</v>
      </c>
      <c r="H157" s="136">
        <f>IF('Q travel'!$B$122=A157,$B157*H$148,0)</f>
        <v>0</v>
      </c>
      <c r="I157" s="127"/>
    </row>
    <row r="158" spans="1:9">
      <c r="A158" s="137" t="str">
        <f t="shared" si="19"/>
        <v>Large LPG car</v>
      </c>
      <c r="B158" s="116">
        <f t="shared" si="20"/>
        <v>0.26829999999999998</v>
      </c>
      <c r="C158" s="186">
        <f>IF('Q travel'!$B$117=A158,$B158*C$148,0)</f>
        <v>0</v>
      </c>
      <c r="D158" s="116">
        <f>IF('Q travel'!$B$118=A158,$B158*D$148,0)</f>
        <v>0</v>
      </c>
      <c r="E158" s="116">
        <f>IF('Q travel'!$B$119=A158,$B158*E$148,0)</f>
        <v>0</v>
      </c>
      <c r="F158" s="116">
        <f>IF('Q travel'!$B$120=A158,$B158*F$148,0)</f>
        <v>0</v>
      </c>
      <c r="G158" s="116">
        <f>IF('Q travel'!$B$121=A158,$B158*G$148,0)</f>
        <v>0</v>
      </c>
      <c r="H158" s="138">
        <f>IF('Q travel'!$B$122=A158,$B158*H$148,0)</f>
        <v>0</v>
      </c>
      <c r="I158" s="128"/>
    </row>
    <row r="159" spans="1:9" ht="13" thickBot="1">
      <c r="A159" s="166" t="str">
        <f t="shared" si="19"/>
        <v>Pool car (eg zipcar)</v>
      </c>
      <c r="B159" s="146">
        <f t="shared" si="20"/>
        <v>0.207561</v>
      </c>
      <c r="C159" s="187">
        <f>IF('Q travel'!$B$117=A159,$B159*C$148,0)</f>
        <v>0</v>
      </c>
      <c r="D159" s="146">
        <f>IF('Q travel'!$B$118=A159,$B159*D$148,0)</f>
        <v>0</v>
      </c>
      <c r="E159" s="146">
        <f>IF('Q travel'!$B$119=A159,$B159*E$148,0)</f>
        <v>0</v>
      </c>
      <c r="F159" s="146">
        <f>IF('Q travel'!$B$120=A159,$B159*F$148,0)</f>
        <v>0</v>
      </c>
      <c r="G159" s="146">
        <f>IF('Q travel'!$B$121=A159,$B159*G$148,0)</f>
        <v>0</v>
      </c>
      <c r="H159" s="147">
        <f>IF('Q travel'!$B$122=A159,$B159*H$148,0)</f>
        <v>0</v>
      </c>
      <c r="I159" s="128"/>
    </row>
    <row r="160" spans="1:9" ht="13.5" thickBot="1">
      <c r="A160" s="185"/>
      <c r="B160" s="184" t="s">
        <v>369</v>
      </c>
      <c r="C160" s="184">
        <f t="shared" ref="C160:H160" si="21">SUM(C149:C159)</f>
        <v>0</v>
      </c>
      <c r="D160" s="184">
        <f t="shared" si="21"/>
        <v>0</v>
      </c>
      <c r="E160" s="184">
        <f t="shared" si="21"/>
        <v>0</v>
      </c>
      <c r="F160" s="184">
        <f t="shared" si="21"/>
        <v>0</v>
      </c>
      <c r="G160" s="184">
        <f t="shared" si="21"/>
        <v>0</v>
      </c>
      <c r="H160" s="184">
        <f t="shared" si="21"/>
        <v>0</v>
      </c>
      <c r="I160" s="171"/>
    </row>
    <row r="161" spans="1:12">
      <c r="A161" s="163" t="s">
        <v>232</v>
      </c>
      <c r="B161" s="59"/>
      <c r="C161" s="59" t="e">
        <f>'Q travel'!$F117/('Q travel'!$F117+'Q travel'!$G117)</f>
        <v>#DIV/0!</v>
      </c>
      <c r="D161" s="59" t="e">
        <f>'Q travel'!$F118/('Q travel'!$F118+'Q travel'!$G118)</f>
        <v>#DIV/0!</v>
      </c>
      <c r="E161" s="59" t="e">
        <f>'Q travel'!$F119/('Q travel'!$F119+'Q travel'!$G119)</f>
        <v>#DIV/0!</v>
      </c>
      <c r="F161" s="59" t="e">
        <f>'Q travel'!$F120/('Q travel'!$F120+'Q travel'!$G120)</f>
        <v>#DIV/0!</v>
      </c>
      <c r="G161" s="59" t="e">
        <f>'Q travel'!$F121/('Q travel'!$F121+'Q travel'!$G121)</f>
        <v>#DIV/0!</v>
      </c>
      <c r="H161" s="125" t="e">
        <f>'Q travel'!$F122/('Q travel'!$F122+'Q travel'!$G122)</f>
        <v>#DIV/0!</v>
      </c>
      <c r="I161" s="172"/>
    </row>
    <row r="162" spans="1:12">
      <c r="A162" s="141" t="s">
        <v>234</v>
      </c>
      <c r="B162" s="56"/>
      <c r="C162" s="81" t="str">
        <f t="shared" ref="C162:H162" si="22">IF(ISERROR(C161),"0",C161)</f>
        <v>0</v>
      </c>
      <c r="D162" s="81" t="str">
        <f t="shared" si="22"/>
        <v>0</v>
      </c>
      <c r="E162" s="81" t="str">
        <f t="shared" si="22"/>
        <v>0</v>
      </c>
      <c r="F162" s="81" t="str">
        <f t="shared" si="22"/>
        <v>0</v>
      </c>
      <c r="G162" s="81" t="str">
        <f t="shared" si="22"/>
        <v>0</v>
      </c>
      <c r="H162" s="81" t="str">
        <f t="shared" si="22"/>
        <v>0</v>
      </c>
      <c r="I162" s="127"/>
    </row>
    <row r="163" spans="1:12">
      <c r="A163" s="158" t="s">
        <v>168</v>
      </c>
      <c r="B163" s="56"/>
      <c r="C163" s="56">
        <f t="shared" ref="C163:H163" si="23">C160-C164</f>
        <v>0</v>
      </c>
      <c r="D163" s="56">
        <f t="shared" si="23"/>
        <v>0</v>
      </c>
      <c r="E163" s="56">
        <f t="shared" si="23"/>
        <v>0</v>
      </c>
      <c r="F163" s="56">
        <f t="shared" si="23"/>
        <v>0</v>
      </c>
      <c r="G163" s="56">
        <f t="shared" si="23"/>
        <v>0</v>
      </c>
      <c r="H163" s="124">
        <f t="shared" si="23"/>
        <v>0</v>
      </c>
      <c r="I163" s="132"/>
    </row>
    <row r="164" spans="1:12" ht="13.5" thickBot="1">
      <c r="A164" s="159" t="s">
        <v>233</v>
      </c>
      <c r="B164" s="146"/>
      <c r="C164" s="148">
        <f t="shared" ref="C164:H164" si="24">C162*C160</f>
        <v>0</v>
      </c>
      <c r="D164" s="148">
        <f t="shared" si="24"/>
        <v>0</v>
      </c>
      <c r="E164" s="148">
        <f t="shared" si="24"/>
        <v>0</v>
      </c>
      <c r="F164" s="148">
        <f t="shared" si="24"/>
        <v>0</v>
      </c>
      <c r="G164" s="148">
        <f t="shared" si="24"/>
        <v>0</v>
      </c>
      <c r="H164" s="173">
        <f t="shared" si="24"/>
        <v>0</v>
      </c>
      <c r="I164" s="150">
        <f>SUM(C164:H164)</f>
        <v>0</v>
      </c>
    </row>
    <row r="166" spans="1:12">
      <c r="A166" s="65"/>
      <c r="B166" s="41"/>
    </row>
    <row r="167" spans="1:12" ht="13">
      <c r="A167" s="79" t="s">
        <v>576</v>
      </c>
      <c r="B167" s="41"/>
    </row>
    <row r="168" spans="1:12" ht="13">
      <c r="A168" s="79" t="s">
        <v>575</v>
      </c>
      <c r="B168" s="41"/>
    </row>
    <row r="169" spans="1:12" ht="9" customHeight="1">
      <c r="A169" s="65"/>
      <c r="B169" s="41"/>
    </row>
    <row r="170" spans="1:12" ht="12.75" customHeight="1">
      <c r="A170" s="65"/>
      <c r="B170" s="65"/>
      <c r="C170" s="105" t="s">
        <v>110</v>
      </c>
      <c r="D170" s="67" t="s">
        <v>428</v>
      </c>
      <c r="E170" s="67" t="s">
        <v>429</v>
      </c>
      <c r="F170" s="67" t="s">
        <v>430</v>
      </c>
      <c r="G170" s="67" t="s">
        <v>431</v>
      </c>
      <c r="H170" s="67" t="s">
        <v>432</v>
      </c>
      <c r="I170" s="67" t="s">
        <v>433</v>
      </c>
      <c r="J170" s="67" t="s">
        <v>435</v>
      </c>
      <c r="K170" s="67" t="s">
        <v>437</v>
      </c>
    </row>
    <row r="171" spans="1:12" ht="12" customHeight="1">
      <c r="A171" s="65"/>
      <c r="B171" s="106" t="s">
        <v>111</v>
      </c>
      <c r="C171" s="108">
        <f>'Q travel'!$C132*'Q travel'!$D132*'Q travel'!$E132</f>
        <v>0</v>
      </c>
      <c r="D171" s="108">
        <f>'Q travel'!$C133*'Q travel'!$D133*'Q travel'!$E133</f>
        <v>0</v>
      </c>
      <c r="E171" s="108">
        <f>'Q travel'!$C134*'Q travel'!$D134*'Q travel'!$E134</f>
        <v>0</v>
      </c>
      <c r="F171" s="108">
        <f>'Q travel'!$C135*'Q travel'!$D135*'Q travel'!$E135</f>
        <v>0</v>
      </c>
      <c r="G171" s="108">
        <f>'Q travel'!$C136*'Q travel'!$D136*'Q travel'!$E136</f>
        <v>0</v>
      </c>
      <c r="H171" s="108">
        <f>'Q travel'!$C137*'Q travel'!$D137*'Q travel'!$E137</f>
        <v>0</v>
      </c>
      <c r="I171" s="108">
        <f>'Q travel'!$C138*'Q travel'!$D138*'Q travel'!$E138</f>
        <v>0</v>
      </c>
      <c r="J171" s="108">
        <f>'Q travel'!$C139*'Q travel'!$D139*'Q travel'!$E139</f>
        <v>0</v>
      </c>
      <c r="K171" s="108">
        <f>'Q travel'!$C140*'Q travel'!$D140*'Q travel'!$E140</f>
        <v>0</v>
      </c>
      <c r="L171" s="109" t="s">
        <v>109</v>
      </c>
    </row>
    <row r="172" spans="1:12">
      <c r="A172" s="56" t="s">
        <v>426</v>
      </c>
      <c r="B172" s="107">
        <f t="shared" ref="B172:B183" si="25">E27</f>
        <v>7.5269020000000006E-2</v>
      </c>
      <c r="C172" s="56">
        <f>IF('Q travel'!$B$132 = $A172,$B172*C$171,0)</f>
        <v>0</v>
      </c>
      <c r="D172" s="56">
        <f>IF('Q travel'!$B$133 = $A172,$B172*D$171,0)</f>
        <v>0</v>
      </c>
      <c r="E172" s="56">
        <f>IF('Q travel'!$B$134 = $A172,$B172*E$171,0)</f>
        <v>0</v>
      </c>
      <c r="F172" s="56">
        <f>IF('Q travel'!$B$135 = $A172,$B172*F$171,0)</f>
        <v>0</v>
      </c>
      <c r="G172" s="56">
        <f>IF('Q travel'!$B$136 = $A172,$B172*G$171,0)</f>
        <v>0</v>
      </c>
      <c r="H172" s="56">
        <f>IF('Q travel'!$B$137 = $A172,$B172*H$171,0)</f>
        <v>0</v>
      </c>
      <c r="I172" s="56">
        <f>IF('Q travel'!$B$138 = $A172,$B172*I$171,0)</f>
        <v>0</v>
      </c>
      <c r="J172" s="56">
        <f>IF('Q travel'!$B$139 = $A172,$B172*J$171,0)</f>
        <v>0</v>
      </c>
      <c r="K172" s="56">
        <f>IF('Q travel'!$B$140 = $A172,$B172*K$171,0)</f>
        <v>0</v>
      </c>
    </row>
    <row r="173" spans="1:12">
      <c r="A173" s="56" t="s">
        <v>417</v>
      </c>
      <c r="B173" s="107">
        <f t="shared" si="25"/>
        <v>0.25127753000000003</v>
      </c>
      <c r="C173" s="56">
        <f>IF('Q travel'!$B$132 = $A173,$B173*C$171,0)</f>
        <v>0</v>
      </c>
      <c r="D173" s="56">
        <f>IF('Q travel'!$B$133 = $A173,$B173*D$171,0)</f>
        <v>0</v>
      </c>
      <c r="E173" s="56">
        <f>IF('Q travel'!$B$134 = $A173,$B173*E$171,0)</f>
        <v>0</v>
      </c>
      <c r="F173" s="56">
        <f>IF('Q travel'!$B$135 = $A173,$B173*F$171,0)</f>
        <v>0</v>
      </c>
      <c r="G173" s="56">
        <f>IF('Q travel'!$B$136 = $A173,$B173*G$171,0)</f>
        <v>0</v>
      </c>
      <c r="H173" s="56">
        <f>IF('Q travel'!$B$137 = $A173,$B173*H$171,0)</f>
        <v>0</v>
      </c>
      <c r="I173" s="56">
        <f>IF('Q travel'!$B$138 = $A173,$B173*I$171,0)</f>
        <v>0</v>
      </c>
      <c r="J173" s="56">
        <f>IF('Q travel'!$B$139 = $A173,$B173*J$171,0)</f>
        <v>0</v>
      </c>
      <c r="K173" s="56">
        <f>IF('Q travel'!$B$140 = $A173,$B173*K$171,0)</f>
        <v>0</v>
      </c>
    </row>
    <row r="174" spans="1:12">
      <c r="A174" s="56" t="s">
        <v>418</v>
      </c>
      <c r="B174" s="107">
        <f t="shared" si="25"/>
        <v>0.34331233</v>
      </c>
      <c r="C174" s="56">
        <f>IF('Q travel'!$B$132 = $A174,$B174*C$171,0)</f>
        <v>0</v>
      </c>
      <c r="D174" s="56">
        <f>IF('Q travel'!$B$133 = $A174,$B174*D$171,0)</f>
        <v>0</v>
      </c>
      <c r="E174" s="56">
        <f>IF('Q travel'!$B$134 = $A174,$B174*E$171,0)</f>
        <v>0</v>
      </c>
      <c r="F174" s="56">
        <f>IF('Q travel'!$B$135 = $A174,$B174*F$171,0)</f>
        <v>0</v>
      </c>
      <c r="G174" s="56">
        <f>IF('Q travel'!$B$136 = $A174,$B174*G$171,0)</f>
        <v>0</v>
      </c>
      <c r="H174" s="56">
        <f>IF('Q travel'!$B$137 = $A174,$B174*H$171,0)</f>
        <v>0</v>
      </c>
      <c r="I174" s="56">
        <f>IF('Q travel'!$B$138 = $A174,$B174*I$171,0)</f>
        <v>0</v>
      </c>
      <c r="J174" s="56">
        <f>IF('Q travel'!$B$139 = $A174,$B174*J$171,0)</f>
        <v>0</v>
      </c>
      <c r="K174" s="56">
        <f>IF('Q travel'!$B$140 = $A174,$B174*K$171,0)</f>
        <v>0</v>
      </c>
    </row>
    <row r="175" spans="1:12">
      <c r="A175" s="56" t="s">
        <v>419</v>
      </c>
      <c r="B175" s="107">
        <f t="shared" si="25"/>
        <v>0.19724731000000001</v>
      </c>
      <c r="C175" s="56">
        <f>IF('Q travel'!$B$132 = $A175,$B175*C$171,0)</f>
        <v>0</v>
      </c>
      <c r="D175" s="56">
        <f>IF('Q travel'!$B$133 = $A175,$B175*D$171,0)</f>
        <v>0</v>
      </c>
      <c r="E175" s="56">
        <f>IF('Q travel'!$B$134 = $A175,$B175*E$171,0)</f>
        <v>0</v>
      </c>
      <c r="F175" s="56">
        <f>IF('Q travel'!$B$135 = $A175,$B175*F$171,0)</f>
        <v>0</v>
      </c>
      <c r="G175" s="56">
        <f>IF('Q travel'!$B$136 = $A175,$B175*G$171,0)</f>
        <v>0</v>
      </c>
      <c r="H175" s="56">
        <f>IF('Q travel'!$B$137 = $A175,$B175*H$171,0)</f>
        <v>0</v>
      </c>
      <c r="I175" s="56">
        <f>IF('Q travel'!$B$138 = $A175,$B175*I$171,0)</f>
        <v>0</v>
      </c>
      <c r="J175" s="56">
        <f>IF('Q travel'!$B$139 = $A175,$B175*J$171,0)</f>
        <v>0</v>
      </c>
      <c r="K175" s="56">
        <f>IF('Q travel'!$B$140 = $A175,$B175*K$171,0)</f>
        <v>0</v>
      </c>
    </row>
    <row r="176" spans="1:12">
      <c r="A176" s="56" t="s">
        <v>420</v>
      </c>
      <c r="B176" s="107">
        <f t="shared" si="25"/>
        <v>0.1169743</v>
      </c>
      <c r="C176" s="56">
        <f>IF('Q travel'!$B$132 = $A176,$B176*C$171,0)</f>
        <v>0</v>
      </c>
      <c r="D176" s="56">
        <f>IF('Q travel'!$B$133 = $A176,$B176*D$171,0)</f>
        <v>0</v>
      </c>
      <c r="E176" s="56">
        <f>IF('Q travel'!$B$134 = $A176,$B176*E$171,0)</f>
        <v>0</v>
      </c>
      <c r="F176" s="56">
        <f>IF('Q travel'!$B$135 = $A176,$B176*F$171,0)</f>
        <v>0</v>
      </c>
      <c r="G176" s="56">
        <f>IF('Q travel'!$B$136 = $A176,$B176*G$171,0)</f>
        <v>0</v>
      </c>
      <c r="H176" s="56">
        <f>IF('Q travel'!$B$137 = $A176,$B176*H$171,0)</f>
        <v>0</v>
      </c>
      <c r="I176" s="56">
        <f>IF('Q travel'!$B$138 = $A176,$B176*I$171,0)</f>
        <v>0</v>
      </c>
      <c r="J176" s="56">
        <f>IF('Q travel'!$B$139 = $A176,$B176*J$171,0)</f>
        <v>0</v>
      </c>
      <c r="K176" s="56">
        <f>IF('Q travel'!$B$140 = $A176,$B176*K$171,0)</f>
        <v>0</v>
      </c>
    </row>
    <row r="177" spans="1:13">
      <c r="A177" s="56" t="s">
        <v>96</v>
      </c>
      <c r="B177" s="107">
        <f t="shared" si="25"/>
        <v>4.4730199999999998E-2</v>
      </c>
      <c r="C177" s="56">
        <f>IF('Q travel'!$B$132 = $A177,$B177*C$171,0)</f>
        <v>0</v>
      </c>
      <c r="D177" s="56">
        <f>IF('Q travel'!$B$133 = $A177,$B177*D$171,0)</f>
        <v>0</v>
      </c>
      <c r="E177" s="56">
        <f>IF('Q travel'!$B$134 = $A177,$B177*E$171,0)</f>
        <v>0</v>
      </c>
      <c r="F177" s="56">
        <f>IF('Q travel'!$B$135 = $A177,$B177*F$171,0)</f>
        <v>0</v>
      </c>
      <c r="G177" s="56">
        <f>IF('Q travel'!$B$136 = $A177,$B177*G$171,0)</f>
        <v>0</v>
      </c>
      <c r="H177" s="56">
        <f>IF('Q travel'!$B$137 = $A177,$B177*H$171,0)</f>
        <v>0</v>
      </c>
      <c r="I177" s="56">
        <f>IF('Q travel'!$B$138 = $A177,$B177*I$171,0)</f>
        <v>0</v>
      </c>
      <c r="J177" s="56">
        <f>IF('Q travel'!$B$139 = $A177,$B177*J$171,0)</f>
        <v>0</v>
      </c>
      <c r="K177" s="56">
        <f>IF('Q travel'!$B$140 = $A177,$B177*K$171,0)</f>
        <v>0</v>
      </c>
    </row>
    <row r="178" spans="1:13">
      <c r="A178" s="56" t="s">
        <v>424</v>
      </c>
      <c r="B178" s="107">
        <f t="shared" si="25"/>
        <v>2.8961999999999998E-3</v>
      </c>
      <c r="C178" s="56">
        <f>IF('Q travel'!$B$132 = $A178,$B178*C$171,0)</f>
        <v>0</v>
      </c>
      <c r="D178" s="56">
        <f>IF('Q travel'!$B$133 = $A178,$B178*D$171,0)</f>
        <v>0</v>
      </c>
      <c r="E178" s="56">
        <f>IF('Q travel'!$B$134 = $A178,$B178*E$171,0)</f>
        <v>0</v>
      </c>
      <c r="F178" s="56">
        <f>IF('Q travel'!$B$135 = $A178,$B178*F$171,0)</f>
        <v>0</v>
      </c>
      <c r="G178" s="56">
        <f>IF('Q travel'!$B$136 = $A178,$B178*G$171,0)</f>
        <v>0</v>
      </c>
      <c r="H178" s="56">
        <f>IF('Q travel'!$B$137 = $A178,$B178*H$171,0)</f>
        <v>0</v>
      </c>
      <c r="I178" s="56">
        <f>IF('Q travel'!$B$138 = $A178,$B178*I$171,0)</f>
        <v>0</v>
      </c>
      <c r="J178" s="56">
        <f>IF('Q travel'!$B$139 = $A178,$B178*J$171,0)</f>
        <v>0</v>
      </c>
      <c r="K178" s="56">
        <f>IF('Q travel'!$B$140 = $A178,$B178*K$171,0)</f>
        <v>0</v>
      </c>
    </row>
    <row r="179" spans="1:13">
      <c r="A179" s="232" t="str">
        <f>A116</f>
        <v>European rail</v>
      </c>
      <c r="B179" s="107">
        <f t="shared" si="25"/>
        <v>1.9710250000000002E-2</v>
      </c>
      <c r="C179" s="56">
        <f>IF('Q travel'!$B$132 = $A179,$B179*C$171,0)</f>
        <v>0</v>
      </c>
      <c r="D179" s="56">
        <f>IF('Q travel'!$B$133 = $A179,$B179*D$171,0)</f>
        <v>0</v>
      </c>
      <c r="E179" s="56">
        <f>IF('Q travel'!$B$134 = $A179,$B179*E$171,0)</f>
        <v>0</v>
      </c>
      <c r="F179" s="56">
        <f>IF('Q travel'!$B$135 = $A179,$B179*F$171,0)</f>
        <v>0</v>
      </c>
      <c r="G179" s="56">
        <f>IF('Q travel'!$B$136 = $A179,$B179*G$171,0)</f>
        <v>0</v>
      </c>
      <c r="H179" s="56">
        <f>IF('Q travel'!$B$137 = $A179,$B179*H$171,0)</f>
        <v>0</v>
      </c>
      <c r="I179" s="56">
        <f>IF('Q travel'!$B$138 = $A179,$B179*I$171,0)</f>
        <v>0</v>
      </c>
      <c r="J179" s="56">
        <f>IF('Q travel'!$B$139 = $A179,$B179*J$171,0)</f>
        <v>0</v>
      </c>
      <c r="K179" s="56">
        <f>IF('Q travel'!$B$140 = $A179,$B179*K$171,0)</f>
        <v>0</v>
      </c>
    </row>
    <row r="180" spans="1:13">
      <c r="A180" s="56" t="s">
        <v>421</v>
      </c>
      <c r="B180" s="107">
        <f t="shared" si="25"/>
        <v>7.5204659999999993E-2</v>
      </c>
      <c r="C180" s="56">
        <f>IF('Q travel'!$B$132 = $A180,$B180*C$171,0)</f>
        <v>0</v>
      </c>
      <c r="D180" s="56">
        <f>IF('Q travel'!$B$133 = $A180,$B180*D$171,0)</f>
        <v>0</v>
      </c>
      <c r="E180" s="56">
        <f>IF('Q travel'!$B$134 = $A180,$B180*E$171,0)</f>
        <v>0</v>
      </c>
      <c r="F180" s="56">
        <f>IF('Q travel'!$B$135 = $A180,$B180*F$171,0)</f>
        <v>0</v>
      </c>
      <c r="G180" s="56">
        <f>IF('Q travel'!$B$136 = $A180,$B180*G$171,0)</f>
        <v>0</v>
      </c>
      <c r="H180" s="56">
        <f>IF('Q travel'!$B$137 = $A180,$B180*H$171,0)</f>
        <v>0</v>
      </c>
      <c r="I180" s="56">
        <f>IF('Q travel'!$B$138 = $A180,$B180*I$171,0)</f>
        <v>0</v>
      </c>
      <c r="J180" s="56">
        <f>IF('Q travel'!$B$139 = $A180,$B180*J$171,0)</f>
        <v>0</v>
      </c>
      <c r="K180" s="56">
        <f>IF('Q travel'!$B$140 = $A180,$B180*K$171,0)</f>
        <v>0</v>
      </c>
    </row>
    <row r="181" spans="1:13">
      <c r="A181" s="56" t="s">
        <v>422</v>
      </c>
      <c r="B181" s="107">
        <f t="shared" si="25"/>
        <v>3.1021519999999997E-2</v>
      </c>
      <c r="C181" s="56">
        <f>IF('Q travel'!$B$132 = $A181,$B181*C$171,0)</f>
        <v>0</v>
      </c>
      <c r="D181" s="56">
        <f>IF('Q travel'!$B$133 = $A181,$B181*D$171,0)</f>
        <v>0</v>
      </c>
      <c r="E181" s="56">
        <f>IF('Q travel'!$B$134 = $A181,$B181*E$171,0)</f>
        <v>0</v>
      </c>
      <c r="F181" s="56">
        <f>IF('Q travel'!$B$135 = $A181,$B181*F$171,0)</f>
        <v>0</v>
      </c>
      <c r="G181" s="56">
        <f>IF('Q travel'!$B$136 = $A181,$B181*G$171,0)</f>
        <v>0</v>
      </c>
      <c r="H181" s="56">
        <f>IF('Q travel'!$B$137 = $A181,$B181*H$171,0)</f>
        <v>0</v>
      </c>
      <c r="I181" s="56">
        <f>IF('Q travel'!$B$138 = $A181,$B181*I$171,0)</f>
        <v>0</v>
      </c>
      <c r="J181" s="56">
        <f>IF('Q travel'!$B$139 = $A181,$B181*J$171,0)</f>
        <v>0</v>
      </c>
      <c r="K181" s="56">
        <f>IF('Q travel'!$B$140 = $A181,$B181*K$171,0)</f>
        <v>0</v>
      </c>
    </row>
    <row r="182" spans="1:13">
      <c r="A182" s="56" t="s">
        <v>423</v>
      </c>
      <c r="B182" s="107">
        <f t="shared" si="25"/>
        <v>0.21439925000000001</v>
      </c>
      <c r="C182" s="56">
        <f>IF('Q travel'!$B$132 = $A182,$B182*C$171,0)</f>
        <v>0</v>
      </c>
      <c r="D182" s="56">
        <f>IF('Q travel'!$B$133 = $A182,$B182*D$171,0)</f>
        <v>0</v>
      </c>
      <c r="E182" s="56">
        <f>IF('Q travel'!$B$134 = $A182,$B182*E$171,0)</f>
        <v>0</v>
      </c>
      <c r="F182" s="56">
        <f>IF('Q travel'!$B$135 = $A182,$B182*F$171,0)</f>
        <v>0</v>
      </c>
      <c r="G182" s="56">
        <f>IF('Q travel'!$B$136 = $A182,$B182*G$171,0)</f>
        <v>0</v>
      </c>
      <c r="H182" s="56">
        <f>IF('Q travel'!$B$137 = $A182,$B182*H$171,0)</f>
        <v>0</v>
      </c>
      <c r="I182" s="56">
        <f>IF('Q travel'!$B$138 = $A182,$B182*I$171,0)</f>
        <v>0</v>
      </c>
      <c r="J182" s="56">
        <f>IF('Q travel'!$B$139 = $A182,$B182*J$171,0)</f>
        <v>0</v>
      </c>
      <c r="K182" s="56">
        <f>IF('Q travel'!$B$140 = $A182,$B182*K$171,0)</f>
        <v>0</v>
      </c>
    </row>
    <row r="183" spans="1:13">
      <c r="A183" s="56" t="str">
        <f>'Q travel'!I87</f>
        <v>Pool car (eg zipcar)</v>
      </c>
      <c r="B183" s="107">
        <f t="shared" si="25"/>
        <v>0.207561</v>
      </c>
      <c r="C183" s="56">
        <f>IF('Q travel'!$B$132 = $A183,$B183*C$171,0)</f>
        <v>0</v>
      </c>
      <c r="D183" s="56">
        <f>IF('Q travel'!$B$133 = $A183,$B183*D$171,0)</f>
        <v>0</v>
      </c>
      <c r="E183" s="56">
        <f>IF('Q travel'!$B$134 = $A183,$B183*E$171,0)</f>
        <v>0</v>
      </c>
      <c r="F183" s="56">
        <f>IF('Q travel'!$B$135 = $A183,$B183*F$171,0)</f>
        <v>0</v>
      </c>
      <c r="G183" s="56">
        <f>IF('Q travel'!$B$136 = $A183,$B183*G$171,0)</f>
        <v>0</v>
      </c>
      <c r="H183" s="56">
        <f>IF('Q travel'!$B$137 = $A183,$B183*H$171,0)</f>
        <v>0</v>
      </c>
      <c r="I183" s="56">
        <f>IF('Q travel'!$B$138 = $A183,$B183*I$171,0)</f>
        <v>0</v>
      </c>
      <c r="J183" s="56">
        <f>IF('Q travel'!$B$139 = $A183,$B183*J$171,0)</f>
        <v>0</v>
      </c>
      <c r="K183" s="56">
        <f>IF('Q travel'!$B$140 = $A183,$B183*K$171,0)</f>
        <v>0</v>
      </c>
    </row>
    <row r="184" spans="1:13" ht="13">
      <c r="A184" s="19" t="s">
        <v>434</v>
      </c>
      <c r="B184" s="19"/>
      <c r="C184" s="102">
        <f>SUM(C172:C183)</f>
        <v>0</v>
      </c>
      <c r="D184" s="102">
        <f t="shared" ref="D184:K184" si="26">SUM(D172:D183)</f>
        <v>0</v>
      </c>
      <c r="E184" s="102">
        <f t="shared" si="26"/>
        <v>0</v>
      </c>
      <c r="F184" s="102">
        <f t="shared" si="26"/>
        <v>0</v>
      </c>
      <c r="G184" s="102">
        <f t="shared" si="26"/>
        <v>0</v>
      </c>
      <c r="H184" s="102">
        <f t="shared" si="26"/>
        <v>0</v>
      </c>
      <c r="I184" s="102">
        <f t="shared" si="26"/>
        <v>0</v>
      </c>
      <c r="J184" s="102">
        <f t="shared" si="26"/>
        <v>0</v>
      </c>
      <c r="K184" s="102">
        <f t="shared" si="26"/>
        <v>0</v>
      </c>
    </row>
    <row r="187" spans="1:13" ht="13">
      <c r="A187" s="19" t="s">
        <v>145</v>
      </c>
    </row>
    <row r="188" spans="1:13">
      <c r="A188" s="56" t="s">
        <v>456</v>
      </c>
      <c r="B188" s="56"/>
      <c r="C188" s="56" t="s">
        <v>427</v>
      </c>
      <c r="D188" s="56" t="s">
        <v>428</v>
      </c>
      <c r="E188" s="56" t="s">
        <v>429</v>
      </c>
      <c r="F188" s="56" t="s">
        <v>430</v>
      </c>
      <c r="G188" s="56" t="s">
        <v>431</v>
      </c>
      <c r="H188" s="56" t="s">
        <v>432</v>
      </c>
      <c r="I188" s="56" t="s">
        <v>433</v>
      </c>
      <c r="J188" s="56" t="s">
        <v>435</v>
      </c>
      <c r="K188" s="56" t="s">
        <v>437</v>
      </c>
      <c r="L188" s="56" t="s">
        <v>438</v>
      </c>
    </row>
    <row r="189" spans="1:13" ht="13">
      <c r="A189" s="56"/>
      <c r="B189" s="56"/>
      <c r="C189" s="205">
        <f>'Q travel'!C156*'Q travel'!E156*'Q travel'!F156</f>
        <v>0</v>
      </c>
      <c r="D189" s="205">
        <f>'Q travel'!$C157*'Q travel'!$E157*'Q travel'!$F157</f>
        <v>0</v>
      </c>
      <c r="E189" s="205">
        <f>'Q travel'!$C158*'Q travel'!$E158*'Q travel'!$F158</f>
        <v>0</v>
      </c>
      <c r="F189" s="205">
        <f>'Q travel'!$C159*'Q travel'!$E159*'Q travel'!$F159</f>
        <v>0</v>
      </c>
      <c r="G189" s="205">
        <f>'Q travel'!$C160*'Q travel'!$E160*'Q travel'!$F160</f>
        <v>0</v>
      </c>
      <c r="H189" s="205">
        <f>'Q travel'!$C161*'Q travel'!$E161*'Q travel'!$F161</f>
        <v>0</v>
      </c>
      <c r="I189" s="205">
        <f>'Q travel'!$C162*'Q travel'!$E162*'Q travel'!$F162</f>
        <v>0</v>
      </c>
      <c r="J189" s="205">
        <f>'Q travel'!$C163*'Q travel'!$E163*'Q travel'!$F163</f>
        <v>0</v>
      </c>
      <c r="K189" s="205">
        <f>'Q travel'!$C164*'Q travel'!$E164*'Q travel'!$F164</f>
        <v>0</v>
      </c>
      <c r="L189" s="205">
        <f>'Q travel'!$C165*'Q travel'!$E165*'Q travel'!$F165</f>
        <v>0</v>
      </c>
      <c r="M189" s="109" t="s">
        <v>384</v>
      </c>
    </row>
    <row r="190" spans="1:13">
      <c r="A190" s="56" t="str">
        <f>A42</f>
        <v>Domestic - average</v>
      </c>
      <c r="B190" s="110">
        <f>E42</f>
        <v>0.50813600000000003</v>
      </c>
      <c r="C190" s="56">
        <f>IF('Q travel'!$B$156 = $A190,$B190*$C$189,0)</f>
        <v>0</v>
      </c>
      <c r="D190" s="56">
        <f>IF('Q travel'!$B$157 = $A190,$B190*D$189,0)</f>
        <v>0</v>
      </c>
      <c r="E190" s="56">
        <f>IF('Q travel'!$B$158 = $A190,$B190*E$189,0)</f>
        <v>0</v>
      </c>
      <c r="F190" s="56">
        <f>IF('Q travel'!$B$159 = $A190,$B190*F$189,0)</f>
        <v>0</v>
      </c>
      <c r="G190" s="56">
        <f>IF('Q travel'!$B$160 = $A190,$B190*G$189,0)</f>
        <v>0</v>
      </c>
      <c r="H190" s="56">
        <f>IF('Q travel'!$B$161 = $A190,$B190*H$189,0)</f>
        <v>0</v>
      </c>
      <c r="I190" s="56">
        <f>IF('Q travel'!$B$162 = $A190,$B190*I$189,0)</f>
        <v>0</v>
      </c>
      <c r="J190" s="56">
        <f>IF('Q travel'!$B$163 = $A190,$B190*J$189,0)</f>
        <v>0</v>
      </c>
      <c r="K190" s="56">
        <f>IF('Q travel'!$B$164 = $A190,$B190*K$189,0)</f>
        <v>0</v>
      </c>
      <c r="L190" s="56">
        <f>IF('Q travel'!$B$165 = $A190,$B190*L$189,0)</f>
        <v>0</v>
      </c>
    </row>
    <row r="191" spans="1:13">
      <c r="A191" s="56" t="str">
        <f t="shared" ref="A191:A196" si="27">A43</f>
        <v>Short haul - economy</v>
      </c>
      <c r="B191" s="110">
        <f t="shared" ref="B191:B196" si="28">E43</f>
        <v>0.30105500000000002</v>
      </c>
      <c r="C191" s="56">
        <f>IF('Q travel'!$B$156 = $A191,$B191*$C$189,0)</f>
        <v>0</v>
      </c>
      <c r="D191" s="56">
        <f>IF('Q travel'!$B$157 = $A191,$B191*D$189,0)</f>
        <v>0</v>
      </c>
      <c r="E191" s="56">
        <f>IF('Q travel'!$B$158 = $A191,$B191*E$189,0)</f>
        <v>0</v>
      </c>
      <c r="F191" s="56">
        <f>IF('Q travel'!$B$159 = $A191,$B191*F$189,0)</f>
        <v>0</v>
      </c>
      <c r="G191" s="56">
        <f>IF('Q travel'!$B$160 = $A191,$B191*G$189,0)</f>
        <v>0</v>
      </c>
      <c r="H191" s="56">
        <f>IF('Q travel'!$B$161 = $A191,$B191*H$189,0)</f>
        <v>0</v>
      </c>
      <c r="I191" s="56">
        <f>IF('Q travel'!$B$162 = $A191,$B191*I$189,0)</f>
        <v>0</v>
      </c>
      <c r="J191" s="56">
        <f>IF('Q travel'!$B$163 = $A191,$B191*J$189,0)</f>
        <v>0</v>
      </c>
      <c r="K191" s="56">
        <f>IF('Q travel'!$B$164 = $A191,$B191*K$189,0)</f>
        <v>0</v>
      </c>
      <c r="L191" s="56">
        <f>IF('Q travel'!$B$165 = $A191,$B191*L$189,0)</f>
        <v>0</v>
      </c>
    </row>
    <row r="192" spans="1:13">
      <c r="A192" s="56" t="str">
        <f t="shared" si="27"/>
        <v>Short haul - first/business</v>
      </c>
      <c r="B192" s="110">
        <f t="shared" si="28"/>
        <v>0.45157299999999995</v>
      </c>
      <c r="C192" s="56">
        <f>IF('Q travel'!$B$156 = $A192,$B192*$C$189,0)</f>
        <v>0</v>
      </c>
      <c r="D192" s="56">
        <f>IF('Q travel'!$B$157 = $A192,$B192*D$189,0)</f>
        <v>0</v>
      </c>
      <c r="E192" s="56">
        <f>IF('Q travel'!$B$158 = $A192,$B192*E$189,0)</f>
        <v>0</v>
      </c>
      <c r="F192" s="56">
        <f>IF('Q travel'!$B$159 = $A192,$B192*F$189,0)</f>
        <v>0</v>
      </c>
      <c r="G192" s="56">
        <f>IF('Q travel'!$B$160 = $A192,$B192*G$189,0)</f>
        <v>0</v>
      </c>
      <c r="H192" s="56">
        <f>IF('Q travel'!$B$161 = $A192,$B192*H$189,0)</f>
        <v>0</v>
      </c>
      <c r="I192" s="56">
        <f>IF('Q travel'!$B$162 = $A192,$B192*I$189,0)</f>
        <v>0</v>
      </c>
      <c r="J192" s="56">
        <f>IF('Q travel'!$B$163 = $A192,$B192*J$189,0)</f>
        <v>0</v>
      </c>
      <c r="K192" s="56">
        <f>IF('Q travel'!$B$164 = $A192,$B192*K$189,0)</f>
        <v>0</v>
      </c>
      <c r="L192" s="56">
        <f>IF('Q travel'!$B$165 = $A192,$B192*L$189,0)</f>
        <v>0</v>
      </c>
    </row>
    <row r="193" spans="1:12">
      <c r="A193" s="56" t="str">
        <f t="shared" si="27"/>
        <v>Long haul - economy</v>
      </c>
      <c r="B193" s="110">
        <f t="shared" si="28"/>
        <v>0.28726099999999999</v>
      </c>
      <c r="C193" s="56">
        <f>IF('Q travel'!$B$156 = $A193,$B193*$C$189,0)</f>
        <v>0</v>
      </c>
      <c r="D193" s="56">
        <f>IF('Q travel'!$B$157 = $A193,$B193*D$189,0)</f>
        <v>0</v>
      </c>
      <c r="E193" s="56">
        <f>IF('Q travel'!$B$158 = $A193,$B193*E$189,0)</f>
        <v>0</v>
      </c>
      <c r="F193" s="56">
        <f>IF('Q travel'!$B$159 = $A193,$B193*F$189,0)</f>
        <v>0</v>
      </c>
      <c r="G193" s="56">
        <f>IF('Q travel'!$B$160 = $A193,$B193*G$189,0)</f>
        <v>0</v>
      </c>
      <c r="H193" s="56">
        <f>IF('Q travel'!$B$161 = $A193,$B193*H$189,0)</f>
        <v>0</v>
      </c>
      <c r="I193" s="56">
        <f>IF('Q travel'!$B$162 = $A193,$B193*I$189,0)</f>
        <v>0</v>
      </c>
      <c r="J193" s="56">
        <f>IF('Q travel'!$B$163 = $A193,$B193*J$189,0)</f>
        <v>0</v>
      </c>
      <c r="K193" s="56">
        <f>IF('Q travel'!$B$164 = $A193,$B193*K$189,0)</f>
        <v>0</v>
      </c>
      <c r="L193" s="56">
        <f>IF('Q travel'!$B$165 = $A193,$B193*L$189,0)</f>
        <v>0</v>
      </c>
    </row>
    <row r="194" spans="1:12">
      <c r="A194" s="56" t="str">
        <f t="shared" si="27"/>
        <v>Long haul - economy+</v>
      </c>
      <c r="B194" s="110">
        <f t="shared" si="28"/>
        <v>0.45959099999999997</v>
      </c>
      <c r="C194" s="56">
        <f>IF('Q travel'!$B$156 = $A194,$B194*$C$189,0)</f>
        <v>0</v>
      </c>
      <c r="D194" s="56">
        <f>IF('Q travel'!$B$157 = $A194,$B194*D$189,0)</f>
        <v>0</v>
      </c>
      <c r="E194" s="56">
        <f>IF('Q travel'!$B$158 = $A194,$B194*E$189,0)</f>
        <v>0</v>
      </c>
      <c r="F194" s="56">
        <f>IF('Q travel'!$B$159 = $A194,$B194*F$189,0)</f>
        <v>0</v>
      </c>
      <c r="G194" s="56">
        <f>IF('Q travel'!$B$160 = $A194,$B194*G$189,0)</f>
        <v>0</v>
      </c>
      <c r="H194" s="56">
        <f>IF('Q travel'!$B$161 = $A194,$B194*H$189,0)</f>
        <v>0</v>
      </c>
      <c r="I194" s="56">
        <f>IF('Q travel'!$B$162 = $A194,$B194*I$189,0)</f>
        <v>0</v>
      </c>
      <c r="J194" s="56">
        <f>IF('Q travel'!$B$163 = $A194,$B194*J$189,0)</f>
        <v>0</v>
      </c>
      <c r="K194" s="56">
        <f>IF('Q travel'!$B$164 = $A194,$B194*K$189,0)</f>
        <v>0</v>
      </c>
      <c r="L194" s="56">
        <f>IF('Q travel'!$B$165 = $A194,$B194*L$189,0)</f>
        <v>0</v>
      </c>
    </row>
    <row r="195" spans="1:12">
      <c r="A195" s="56" t="str">
        <f t="shared" si="27"/>
        <v>Long haul - business</v>
      </c>
      <c r="B195" s="110">
        <f t="shared" si="28"/>
        <v>0.8330169999999999</v>
      </c>
      <c r="C195" s="56">
        <f>IF('Q travel'!$B$156 = $A195,$B195*$C$189,0)</f>
        <v>0</v>
      </c>
      <c r="D195" s="56">
        <f>IF('Q travel'!$B$157 = $A195,$B195*D$189,0)</f>
        <v>0</v>
      </c>
      <c r="E195" s="56">
        <f>IF('Q travel'!$B$158 = $A195,$B195*E$189,0)</f>
        <v>0</v>
      </c>
      <c r="F195" s="56">
        <f>IF('Q travel'!$B$159 = $A195,$B195*F$189,0)</f>
        <v>0</v>
      </c>
      <c r="G195" s="56">
        <f>IF('Q travel'!$B$160 = $A195,$B195*G$189,0)</f>
        <v>0</v>
      </c>
      <c r="H195" s="56">
        <f>IF('Q travel'!$B$161 = $A195,$B195*H$189,0)</f>
        <v>0</v>
      </c>
      <c r="I195" s="56">
        <f>IF('Q travel'!$B$162 = $A195,$B195*I$189,0)</f>
        <v>0</v>
      </c>
      <c r="J195" s="56">
        <f>IF('Q travel'!$B$163 = $A195,$B195*J$189,0)</f>
        <v>0</v>
      </c>
      <c r="K195" s="56">
        <f>IF('Q travel'!$B$164 = $A195,$B195*K$189,0)</f>
        <v>0</v>
      </c>
      <c r="L195" s="56">
        <f>IF('Q travel'!$B$165 = $A195,$B195*L$189,0)</f>
        <v>0</v>
      </c>
    </row>
    <row r="196" spans="1:12">
      <c r="A196" s="56" t="str">
        <f t="shared" si="27"/>
        <v>Long haul - first class</v>
      </c>
      <c r="B196" s="110">
        <f t="shared" si="28"/>
        <v>1.148987</v>
      </c>
      <c r="C196" s="56">
        <f>IF('Q travel'!$B$156 = $A196,$B196*$C$189,0)</f>
        <v>0</v>
      </c>
      <c r="D196" s="56">
        <f>IF('Q travel'!$B$157 = $A196,$B196*D$189,0)</f>
        <v>0</v>
      </c>
      <c r="E196" s="56">
        <f>IF('Q travel'!$B$158 = $A196,$B196*E$189,0)</f>
        <v>0</v>
      </c>
      <c r="F196" s="56">
        <f>IF('Q travel'!$B$159 = $A196,$B196*F$189,0)</f>
        <v>0</v>
      </c>
      <c r="G196" s="56">
        <f>IF('Q travel'!$B$160 = $A196,$B196*G$189,0)</f>
        <v>0</v>
      </c>
      <c r="H196" s="56">
        <f>IF('Q travel'!$B$161 = $A196,$B196*H$189,0)</f>
        <v>0</v>
      </c>
      <c r="I196" s="56">
        <f>IF('Q travel'!$B$162 = $A196,$B196*I$189,0)</f>
        <v>0</v>
      </c>
      <c r="J196" s="56">
        <f>IF('Q travel'!$B$163 = $A196,$B196*J$189,0)</f>
        <v>0</v>
      </c>
      <c r="K196" s="56">
        <f>IF('Q travel'!$B$164 = $A196,$B196*K$189,0)</f>
        <v>0</v>
      </c>
      <c r="L196" s="56">
        <f>IF('Q travel'!$B$165 = $A196,$B196*L$189,0)</f>
        <v>0</v>
      </c>
    </row>
    <row r="197" spans="1:12" ht="13">
      <c r="A197" s="84" t="s">
        <v>459</v>
      </c>
      <c r="B197" s="84"/>
      <c r="C197" s="66">
        <f>SUM(C190:C196)</f>
        <v>0</v>
      </c>
      <c r="D197" s="66">
        <f t="shared" ref="D197:L197" si="29">SUM(D190:D196)</f>
        <v>0</v>
      </c>
      <c r="E197" s="66">
        <f t="shared" si="29"/>
        <v>0</v>
      </c>
      <c r="F197" s="66">
        <f t="shared" si="29"/>
        <v>0</v>
      </c>
      <c r="G197" s="66">
        <f t="shared" si="29"/>
        <v>0</v>
      </c>
      <c r="H197" s="66">
        <f t="shared" si="29"/>
        <v>0</v>
      </c>
      <c r="I197" s="66">
        <f t="shared" si="29"/>
        <v>0</v>
      </c>
      <c r="J197" s="66">
        <f t="shared" si="29"/>
        <v>0</v>
      </c>
      <c r="K197" s="66">
        <f t="shared" si="29"/>
        <v>0</v>
      </c>
      <c r="L197" s="66">
        <f t="shared" si="29"/>
        <v>0</v>
      </c>
    </row>
    <row r="199" spans="1:12" ht="13.5" thickBot="1">
      <c r="A199" s="19" t="s">
        <v>490</v>
      </c>
    </row>
    <row r="200" spans="1:12" ht="31.5" thickBot="1">
      <c r="A200" s="19" t="s">
        <v>496</v>
      </c>
      <c r="B200" s="113" t="s">
        <v>377</v>
      </c>
    </row>
    <row r="201" spans="1:12" ht="16" thickBot="1">
      <c r="A201" t="s">
        <v>491</v>
      </c>
      <c r="B201" s="114">
        <v>42</v>
      </c>
    </row>
    <row r="202" spans="1:12" ht="16" thickBot="1">
      <c r="A202" t="s">
        <v>492</v>
      </c>
      <c r="B202" s="114">
        <v>362</v>
      </c>
    </row>
    <row r="203" spans="1:12" ht="16" thickBot="1">
      <c r="A203" t="s">
        <v>493</v>
      </c>
      <c r="B203" s="114">
        <v>430</v>
      </c>
    </row>
    <row r="204" spans="1:12" ht="16" thickBot="1">
      <c r="A204" t="s">
        <v>494</v>
      </c>
      <c r="B204" s="114">
        <v>525</v>
      </c>
    </row>
    <row r="205" spans="1:12" ht="16" thickBot="1">
      <c r="A205" t="s">
        <v>376</v>
      </c>
      <c r="B205" s="114">
        <v>471</v>
      </c>
    </row>
    <row r="206" spans="1:12" ht="16" thickBot="1">
      <c r="A206" t="s">
        <v>495</v>
      </c>
      <c r="B206" s="114">
        <v>595</v>
      </c>
    </row>
    <row r="211" spans="1:5" ht="13">
      <c r="A211" s="19" t="s">
        <v>460</v>
      </c>
    </row>
    <row r="212" spans="1:5">
      <c r="A212" t="s">
        <v>82</v>
      </c>
    </row>
    <row r="213" spans="1:5" ht="25">
      <c r="A213" s="100"/>
      <c r="C213" s="101"/>
    </row>
    <row r="214" spans="1:5">
      <c r="A214" s="65"/>
    </row>
    <row r="215" spans="1:5" ht="14">
      <c r="A215" s="74"/>
      <c r="B215" s="75"/>
      <c r="E215" s="18"/>
    </row>
    <row r="216" spans="1:5">
      <c r="B216" s="76"/>
      <c r="E216" s="18"/>
    </row>
    <row r="217" spans="1:5">
      <c r="B217" s="76"/>
      <c r="E217" s="18"/>
    </row>
    <row r="218" spans="1:5">
      <c r="B218" s="76"/>
      <c r="E218" s="18"/>
    </row>
    <row r="219" spans="1:5" ht="13">
      <c r="A219" s="78"/>
      <c r="B219" s="76"/>
      <c r="E219" s="18"/>
    </row>
    <row r="220" spans="1:5" ht="14">
      <c r="A220" s="74"/>
      <c r="B220" s="76"/>
    </row>
    <row r="221" spans="1:5">
      <c r="B221" s="76"/>
      <c r="E221" s="18"/>
    </row>
    <row r="222" spans="1:5">
      <c r="B222" s="76"/>
      <c r="E222" s="18"/>
    </row>
    <row r="223" spans="1:5">
      <c r="B223" s="76"/>
      <c r="E223" s="18"/>
    </row>
    <row r="224" spans="1:5" ht="13">
      <c r="A224" s="78"/>
      <c r="B224" s="76"/>
      <c r="E224" s="18"/>
    </row>
    <row r="225" spans="1:5">
      <c r="B225" s="76"/>
      <c r="E225" s="18"/>
    </row>
    <row r="226" spans="1:5" ht="14">
      <c r="A226" s="74"/>
      <c r="B226" s="76"/>
      <c r="E226" s="18"/>
    </row>
    <row r="227" spans="1:5">
      <c r="B227" s="76"/>
    </row>
    <row r="228" spans="1:5" ht="13">
      <c r="A228" s="78"/>
      <c r="B228" s="76"/>
    </row>
    <row r="230" spans="1:5" ht="14">
      <c r="A230" s="74"/>
      <c r="B230" s="76"/>
    </row>
    <row r="231" spans="1:5">
      <c r="B231" s="76"/>
    </row>
    <row r="232" spans="1:5" ht="13">
      <c r="A232" s="78"/>
      <c r="B232" s="76"/>
    </row>
  </sheetData>
  <mergeCells count="2">
    <mergeCell ref="A106:F106"/>
    <mergeCell ref="A124:C124"/>
  </mergeCells>
  <phoneticPr fontId="2" type="noConversion"/>
  <pageMargins left="0.75" right="0.75" top="1" bottom="1" header="0.5" footer="0.5"/>
  <pageSetup orientation="portrait"/>
  <headerFooter alignWithMargins="0"/>
  <ignoredErrors>
    <ignoredError sqref="A11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topLeftCell="A2" workbookViewId="0">
      <selection activeCell="D5" sqref="D5:F18"/>
    </sheetView>
  </sheetViews>
  <sheetFormatPr defaultColWidth="8.81640625" defaultRowHeight="12.5"/>
  <cols>
    <col min="1" max="1" width="28.1796875" customWidth="1"/>
    <col min="2" max="2" width="9.6328125" bestFit="1" customWidth="1"/>
    <col min="3" max="3" width="10.6328125" customWidth="1"/>
    <col min="4" max="4" width="12" customWidth="1"/>
    <col min="5" max="5" width="10.1796875" bestFit="1" customWidth="1"/>
    <col min="6" max="6" width="10.453125" bestFit="1" customWidth="1"/>
  </cols>
  <sheetData>
    <row r="1" spans="1:6" ht="13">
      <c r="A1" s="19" t="s">
        <v>410</v>
      </c>
    </row>
    <row r="2" spans="1:6" ht="13">
      <c r="A2" s="19"/>
    </row>
    <row r="3" spans="1:6" ht="13">
      <c r="A3" s="19" t="s">
        <v>411</v>
      </c>
    </row>
    <row r="4" spans="1:6" ht="13">
      <c r="A4" s="19"/>
    </row>
    <row r="5" spans="1:6" ht="13">
      <c r="A5" s="19" t="s">
        <v>49</v>
      </c>
      <c r="B5" t="s">
        <v>655</v>
      </c>
      <c r="C5" t="s">
        <v>656</v>
      </c>
      <c r="D5" t="s">
        <v>50</v>
      </c>
      <c r="E5" t="s">
        <v>833</v>
      </c>
      <c r="F5" t="s">
        <v>834</v>
      </c>
    </row>
    <row r="6" spans="1:6">
      <c r="A6" t="s">
        <v>48</v>
      </c>
      <c r="B6" t="s">
        <v>51</v>
      </c>
      <c r="C6" t="s">
        <v>52</v>
      </c>
      <c r="D6" s="212">
        <v>1.609</v>
      </c>
      <c r="F6" t="s">
        <v>835</v>
      </c>
    </row>
    <row r="7" spans="1:6">
      <c r="A7" s="26" t="s">
        <v>54</v>
      </c>
      <c r="B7" t="s">
        <v>723</v>
      </c>
      <c r="C7" t="s">
        <v>85</v>
      </c>
      <c r="D7" s="212">
        <v>0.18645999999999999</v>
      </c>
    </row>
    <row r="8" spans="1:6">
      <c r="A8" s="26" t="s">
        <v>53</v>
      </c>
      <c r="B8" t="s">
        <v>723</v>
      </c>
      <c r="C8" t="s">
        <v>85</v>
      </c>
      <c r="D8" s="212">
        <f>0.35156+0.03287</f>
        <v>0.38442999999999999</v>
      </c>
      <c r="E8" s="618" t="s">
        <v>836</v>
      </c>
    </row>
    <row r="9" spans="1:6">
      <c r="A9" s="26" t="s">
        <v>279</v>
      </c>
      <c r="B9" t="s">
        <v>723</v>
      </c>
      <c r="C9" t="s">
        <v>280</v>
      </c>
      <c r="D9" s="214">
        <v>0</v>
      </c>
    </row>
    <row r="10" spans="1:6">
      <c r="A10" s="26" t="s">
        <v>711</v>
      </c>
      <c r="B10" t="s">
        <v>714</v>
      </c>
      <c r="C10" t="s">
        <v>85</v>
      </c>
      <c r="D10" s="212">
        <v>2.53233</v>
      </c>
      <c r="E10" s="618" t="s">
        <v>837</v>
      </c>
    </row>
    <row r="11" spans="1:6">
      <c r="A11" s="26" t="s">
        <v>717</v>
      </c>
      <c r="B11" t="s">
        <v>715</v>
      </c>
      <c r="C11" t="s">
        <v>85</v>
      </c>
      <c r="D11" s="212">
        <v>2.8619599999999998</v>
      </c>
      <c r="E11" s="101"/>
    </row>
    <row r="12" spans="1:6">
      <c r="A12" s="26" t="s">
        <v>452</v>
      </c>
      <c r="B12" t="s">
        <v>714</v>
      </c>
      <c r="C12" t="s">
        <v>280</v>
      </c>
      <c r="D12" s="212">
        <v>1.50807</v>
      </c>
    </row>
    <row r="13" spans="1:6">
      <c r="A13" s="26" t="s">
        <v>55</v>
      </c>
      <c r="B13" t="s">
        <v>715</v>
      </c>
      <c r="C13" t="s">
        <v>85</v>
      </c>
      <c r="D13" s="212">
        <v>5.1905529999999998E-2</v>
      </c>
      <c r="E13" s="618" t="s">
        <v>838</v>
      </c>
    </row>
    <row r="14" spans="1:6">
      <c r="A14" s="26" t="s">
        <v>33</v>
      </c>
      <c r="B14" t="s">
        <v>86</v>
      </c>
      <c r="C14" t="s">
        <v>85</v>
      </c>
      <c r="D14" s="212">
        <v>1.9</v>
      </c>
      <c r="E14" t="s">
        <v>231</v>
      </c>
    </row>
    <row r="15" spans="1:6">
      <c r="A15" s="26" t="s">
        <v>56</v>
      </c>
      <c r="B15" t="s">
        <v>51</v>
      </c>
      <c r="C15" t="s">
        <v>85</v>
      </c>
      <c r="D15" s="213">
        <v>4.6780000000000002E-2</v>
      </c>
    </row>
    <row r="16" spans="1:6">
      <c r="A16" s="26" t="s">
        <v>57</v>
      </c>
      <c r="B16" t="s">
        <v>52</v>
      </c>
      <c r="C16" t="s">
        <v>58</v>
      </c>
      <c r="D16" s="213" t="s">
        <v>84</v>
      </c>
    </row>
    <row r="17" spans="1:4">
      <c r="A17" s="26" t="s">
        <v>95</v>
      </c>
      <c r="B17" t="s">
        <v>51</v>
      </c>
      <c r="C17" t="s">
        <v>97</v>
      </c>
      <c r="D17" s="213">
        <v>0.10259</v>
      </c>
    </row>
    <row r="18" spans="1:4">
      <c r="A18" s="26" t="s">
        <v>96</v>
      </c>
      <c r="B18" t="s">
        <v>51</v>
      </c>
      <c r="C18" t="s">
        <v>85</v>
      </c>
      <c r="D18" s="213">
        <v>2.7799999999999998E-2</v>
      </c>
    </row>
    <row r="19" spans="1:4">
      <c r="A19" s="26"/>
    </row>
    <row r="20" spans="1:4" ht="15.5">
      <c r="A20" s="97" t="s">
        <v>275</v>
      </c>
    </row>
    <row r="21" spans="1:4" ht="6" customHeight="1">
      <c r="A21" s="97"/>
    </row>
    <row r="22" spans="1:4" ht="13">
      <c r="A22" s="19" t="s">
        <v>412</v>
      </c>
    </row>
    <row r="23" spans="1:4" ht="13">
      <c r="A23" s="19"/>
    </row>
    <row r="24" spans="1:4">
      <c r="A24" s="67" t="s">
        <v>554</v>
      </c>
      <c r="B24" s="98" t="e">
        <f>'your footprint'!F13</f>
        <v>#DIV/0!</v>
      </c>
    </row>
    <row r="25" spans="1:4">
      <c r="A25" s="67" t="s">
        <v>413</v>
      </c>
      <c r="B25" s="98" t="e">
        <f>'your footprint'!F14</f>
        <v>#DIV/0!</v>
      </c>
    </row>
    <row r="26" spans="1:4">
      <c r="A26" s="67" t="s">
        <v>98</v>
      </c>
      <c r="B26" s="98" t="e">
        <f>'your footprint'!F15+'your footprint'!F18</f>
        <v>#DIV/0!</v>
      </c>
    </row>
    <row r="27" spans="1:4">
      <c r="A27" s="67" t="s">
        <v>382</v>
      </c>
      <c r="B27" s="98" t="e">
        <f>'your footprint'!F16+'your footprint'!F19</f>
        <v>#DIV/0!</v>
      </c>
    </row>
    <row r="28" spans="1:4">
      <c r="A28" s="67" t="s">
        <v>637</v>
      </c>
      <c r="B28" s="98" t="e">
        <f>'your footprint'!F17</f>
        <v>#DIV/0!</v>
      </c>
    </row>
    <row r="29" spans="1:4">
      <c r="A29" s="67" t="s">
        <v>33</v>
      </c>
      <c r="B29" s="98" t="e">
        <f>'your footprint'!F20</f>
        <v>#DIV/0!</v>
      </c>
    </row>
    <row r="30" spans="1:4">
      <c r="A30" s="67" t="s">
        <v>414</v>
      </c>
      <c r="B30" s="98" t="e">
        <f>'your footprint'!F21</f>
        <v>#DIV/0!</v>
      </c>
    </row>
    <row r="31" spans="1:4">
      <c r="A31" s="67" t="s">
        <v>415</v>
      </c>
      <c r="B31" s="98" t="e">
        <f>'your footprint'!F22</f>
        <v>#DIV/0!</v>
      </c>
    </row>
    <row r="32" spans="1:4">
      <c r="A32" s="67" t="s">
        <v>416</v>
      </c>
      <c r="B32" s="98" t="e">
        <f ca="1">'your footprint'!F23</f>
        <v>#DIV/0!</v>
      </c>
    </row>
    <row r="33" spans="1:5" ht="13">
      <c r="A33" s="19"/>
      <c r="B33" s="98" t="e">
        <f>'your footprint'!F24</f>
        <v>#DIV/0!</v>
      </c>
    </row>
    <row r="34" spans="1:5">
      <c r="B34" s="18"/>
    </row>
    <row r="35" spans="1:5" ht="13">
      <c r="A35" s="19" t="s">
        <v>100</v>
      </c>
      <c r="B35" s="18"/>
    </row>
    <row r="36" spans="1:5">
      <c r="A36" s="56" t="s">
        <v>87</v>
      </c>
      <c r="B36" s="98" t="e">
        <f>'your footprint'!F26</f>
        <v>#DIV/0!</v>
      </c>
    </row>
    <row r="37" spans="1:5">
      <c r="A37" s="56" t="s">
        <v>59</v>
      </c>
      <c r="B37" s="98">
        <f>'your footprint'!H26</f>
        <v>12.5</v>
      </c>
    </row>
    <row r="38" spans="1:5">
      <c r="A38" s="56" t="s">
        <v>243</v>
      </c>
      <c r="B38" s="98">
        <v>5.5</v>
      </c>
    </row>
    <row r="39" spans="1:5">
      <c r="A39" s="56" t="s">
        <v>177</v>
      </c>
      <c r="B39" s="98">
        <f>B37/5</f>
        <v>2.5</v>
      </c>
    </row>
    <row r="40" spans="1:5">
      <c r="B40" s="18"/>
    </row>
    <row r="41" spans="1:5" ht="13">
      <c r="A41" s="66" t="s">
        <v>330</v>
      </c>
      <c r="B41" s="58" t="s">
        <v>369</v>
      </c>
      <c r="C41" s="215" t="s">
        <v>333</v>
      </c>
      <c r="D41" s="215" t="s">
        <v>334</v>
      </c>
    </row>
    <row r="42" spans="1:5">
      <c r="A42" s="56" t="s">
        <v>331</v>
      </c>
      <c r="B42" s="98">
        <f>'Q domestic energy'!F12</f>
        <v>0</v>
      </c>
      <c r="C42" s="56"/>
      <c r="D42" s="98"/>
    </row>
    <row r="43" spans="1:5">
      <c r="A43" s="56" t="s">
        <v>332</v>
      </c>
      <c r="B43" s="98">
        <f>'Q domestic energy'!F13</f>
        <v>0</v>
      </c>
      <c r="C43" s="56"/>
      <c r="D43" s="98"/>
    </row>
    <row r="44" spans="1:5" ht="13">
      <c r="A44" s="217" t="s">
        <v>369</v>
      </c>
      <c r="B44" s="216">
        <f>SUM(B42:B43)</f>
        <v>0</v>
      </c>
      <c r="C44" s="56">
        <f>'Q domestic energy'!F16</f>
        <v>0</v>
      </c>
      <c r="D44" s="216">
        <f>C44+B44</f>
        <v>0</v>
      </c>
    </row>
    <row r="45" spans="1:5">
      <c r="B45" s="18" t="s">
        <v>209</v>
      </c>
      <c r="D45" t="s">
        <v>335</v>
      </c>
    </row>
    <row r="46" spans="1:5">
      <c r="B46" s="18"/>
    </row>
    <row r="47" spans="1:5" ht="13">
      <c r="A47" s="19" t="s">
        <v>336</v>
      </c>
      <c r="B47" s="18"/>
    </row>
    <row r="48" spans="1:5" ht="25">
      <c r="A48" s="56" t="s">
        <v>337</v>
      </c>
      <c r="B48" s="98" t="s">
        <v>369</v>
      </c>
      <c r="C48" s="218" t="s">
        <v>338</v>
      </c>
      <c r="D48" s="218" t="s">
        <v>334</v>
      </c>
      <c r="E48" s="56" t="s">
        <v>646</v>
      </c>
    </row>
    <row r="49" spans="1:5">
      <c r="A49" s="56" t="str">
        <f>'your footprint'!A12:D12</f>
        <v>Activity</v>
      </c>
      <c r="B49" s="56"/>
      <c r="C49" s="56"/>
      <c r="D49" s="56"/>
      <c r="E49" s="56"/>
    </row>
    <row r="50" spans="1:5">
      <c r="A50" s="56" t="str">
        <f>'your footprint'!A13:D13</f>
        <v>Lighting and appliances in your home</v>
      </c>
      <c r="B50" s="98">
        <f>'your footprint'!E13</f>
        <v>0</v>
      </c>
      <c r="C50" s="56" t="e">
        <f>B44/D44</f>
        <v>#DIV/0!</v>
      </c>
      <c r="D50" s="56" t="e">
        <f>B50*C50</f>
        <v>#DIV/0!</v>
      </c>
      <c r="E50" s="56" t="e">
        <f>D50/$B$44</f>
        <v>#DIV/0!</v>
      </c>
    </row>
    <row r="51" spans="1:5">
      <c r="A51" s="56" t="str">
        <f>'your footprint'!A14:D14</f>
        <v>Heating your home and water</v>
      </c>
      <c r="B51" s="98">
        <f>'your footprint'!E14</f>
        <v>0</v>
      </c>
      <c r="C51" s="56" t="e">
        <f>B44/D44</f>
        <v>#DIV/0!</v>
      </c>
      <c r="D51" s="56" t="e">
        <f t="shared" ref="D51:D59" si="0">B51*C51</f>
        <v>#DIV/0!</v>
      </c>
      <c r="E51" s="56" t="e">
        <f t="shared" ref="E51:E61" si="1">D51/$B$44</f>
        <v>#DIV/0!</v>
      </c>
    </row>
    <row r="52" spans="1:5">
      <c r="A52" s="56" t="str">
        <f>'your footprint'!A15:D15</f>
        <v>Commuting by car</v>
      </c>
      <c r="B52" s="98">
        <f>'your footprint'!E15</f>
        <v>0</v>
      </c>
      <c r="C52" s="56">
        <v>1</v>
      </c>
      <c r="D52" s="56">
        <f t="shared" si="0"/>
        <v>0</v>
      </c>
      <c r="E52" s="56" t="e">
        <f t="shared" si="1"/>
        <v>#DIV/0!</v>
      </c>
    </row>
    <row r="53" spans="1:5">
      <c r="A53" s="56" t="str">
        <f>'your footprint'!A16:D16</f>
        <v>Domestic travel by car</v>
      </c>
      <c r="B53" s="98">
        <f>'your footprint'!E16</f>
        <v>0</v>
      </c>
      <c r="C53" s="56">
        <v>1</v>
      </c>
      <c r="D53" s="56">
        <f t="shared" si="0"/>
        <v>0</v>
      </c>
      <c r="E53" s="56" t="e">
        <f t="shared" si="1"/>
        <v>#DIV/0!</v>
      </c>
    </row>
    <row r="54" spans="1:5">
      <c r="A54" s="56" t="str">
        <f>'your footprint'!A17:D17</f>
        <v>Car ownership</v>
      </c>
      <c r="B54" s="98">
        <f>'your footprint'!E17</f>
        <v>0</v>
      </c>
      <c r="C54" s="56">
        <v>1</v>
      </c>
      <c r="D54" s="56">
        <f t="shared" si="0"/>
        <v>0</v>
      </c>
      <c r="E54" s="56" t="e">
        <f t="shared" si="1"/>
        <v>#DIV/0!</v>
      </c>
    </row>
    <row r="55" spans="1:5">
      <c r="A55" s="56" t="str">
        <f>'your footprint'!A18:D18</f>
        <v>Commuting by public transport</v>
      </c>
      <c r="B55" s="98">
        <f>'your footprint'!E18</f>
        <v>0</v>
      </c>
      <c r="C55" s="56">
        <v>1</v>
      </c>
      <c r="D55" s="56">
        <f t="shared" si="0"/>
        <v>0</v>
      </c>
      <c r="E55" s="56" t="e">
        <f t="shared" si="1"/>
        <v>#DIV/0!</v>
      </c>
    </row>
    <row r="56" spans="1:5">
      <c r="A56" s="56" t="str">
        <f>'your footprint'!A19:D19</f>
        <v>Domestic travel by public transport</v>
      </c>
      <c r="B56" s="98">
        <f>'your footprint'!E19</f>
        <v>0</v>
      </c>
      <c r="C56" s="56">
        <v>1</v>
      </c>
      <c r="D56" s="56">
        <f t="shared" si="0"/>
        <v>0</v>
      </c>
      <c r="E56" s="56" t="e">
        <f t="shared" si="1"/>
        <v>#DIV/0!</v>
      </c>
    </row>
    <row r="57" spans="1:5">
      <c r="A57" s="56" t="str">
        <f>'your footprint'!A20:D20</f>
        <v>Flights</v>
      </c>
      <c r="B57" s="98">
        <f>'your footprint'!E20</f>
        <v>0</v>
      </c>
      <c r="C57" s="56">
        <v>1</v>
      </c>
      <c r="D57" s="56">
        <f t="shared" si="0"/>
        <v>0</v>
      </c>
      <c r="E57" s="56" t="e">
        <f t="shared" si="1"/>
        <v>#DIV/0!</v>
      </c>
    </row>
    <row r="58" spans="1:5">
      <c r="A58" s="56" t="str">
        <f>'your footprint'!A21:D21</f>
        <v>Food</v>
      </c>
      <c r="B58" s="98">
        <f>'your footprint'!E21</f>
        <v>0</v>
      </c>
      <c r="C58" s="56">
        <v>1</v>
      </c>
      <c r="D58" s="56">
        <f t="shared" si="0"/>
        <v>0</v>
      </c>
      <c r="E58" s="56" t="e">
        <f t="shared" si="1"/>
        <v>#DIV/0!</v>
      </c>
    </row>
    <row r="59" spans="1:5">
      <c r="A59" s="56" t="str">
        <f>'your footprint'!A22:D22</f>
        <v>Pets</v>
      </c>
      <c r="B59" s="98">
        <f>'your footprint'!E22</f>
        <v>0</v>
      </c>
      <c r="C59" s="56">
        <v>1</v>
      </c>
      <c r="D59" s="56">
        <f t="shared" si="0"/>
        <v>0</v>
      </c>
      <c r="E59" s="56" t="e">
        <f t="shared" si="1"/>
        <v>#DIV/0!</v>
      </c>
    </row>
    <row r="60" spans="1:5">
      <c r="A60" s="56" t="str">
        <f>'your footprint'!A23:D23</f>
        <v>Goods and services</v>
      </c>
      <c r="B60" s="98">
        <f ca="1">'your footprint'!E23</f>
        <v>0</v>
      </c>
      <c r="C60" s="56">
        <v>1</v>
      </c>
      <c r="D60" s="56">
        <f ca="1">B60*C60</f>
        <v>0</v>
      </c>
      <c r="E60" s="56" t="e">
        <f t="shared" ca="1" si="1"/>
        <v>#DIV/0!</v>
      </c>
    </row>
    <row r="61" spans="1:5">
      <c r="A61" s="56" t="str">
        <f>'your footprint'!A24:D24</f>
        <v>Subtotal for your household</v>
      </c>
      <c r="B61" s="98">
        <f ca="1">'your footprint'!E24</f>
        <v>0</v>
      </c>
      <c r="C61" s="56">
        <v>1</v>
      </c>
      <c r="D61" s="56" t="e">
        <f>SUM(D50:D60)</f>
        <v>#DIV/0!</v>
      </c>
      <c r="E61" s="56" t="e">
        <f t="shared" si="1"/>
        <v>#DIV/0!</v>
      </c>
    </row>
    <row r="62" spans="1:5">
      <c r="A62" s="56" t="str">
        <f>'your footprint'!A25:D25</f>
        <v xml:space="preserve">Government services </v>
      </c>
      <c r="B62" s="98">
        <f>'your footprint'!E25</f>
        <v>0</v>
      </c>
      <c r="C62" s="56"/>
      <c r="D62" s="56"/>
      <c r="E62" s="56"/>
    </row>
    <row r="63" spans="1:5">
      <c r="A63" s="56" t="str">
        <f>'your footprint'!A26:D26</f>
        <v>Total annual CO2 emissions</v>
      </c>
      <c r="B63" s="98">
        <f ca="1">'your footprint'!E26</f>
        <v>0</v>
      </c>
      <c r="C63" s="56"/>
      <c r="D63" s="56" t="e">
        <f>D62+D61</f>
        <v>#DIV/0!</v>
      </c>
      <c r="E63" s="56" t="e">
        <f>E62+E61</f>
        <v>#DIV/0!</v>
      </c>
    </row>
    <row r="64" spans="1:5" ht="15.75" customHeight="1">
      <c r="A64" s="19" t="s">
        <v>215</v>
      </c>
      <c r="B64" s="18"/>
      <c r="C64" s="40"/>
      <c r="D64" s="42"/>
    </row>
    <row r="65" spans="1:8">
      <c r="A65" s="56" t="s">
        <v>219</v>
      </c>
      <c r="B65" s="98">
        <f ca="1">'your footprint'!E30</f>
        <v>0</v>
      </c>
      <c r="C65" s="29"/>
      <c r="D65" s="29"/>
      <c r="E65" s="56"/>
    </row>
    <row r="66" spans="1:8">
      <c r="A66" s="56" t="s">
        <v>216</v>
      </c>
      <c r="B66" s="29">
        <f ca="1">B65-B63</f>
        <v>0</v>
      </c>
      <c r="C66" s="29"/>
      <c r="D66" s="29"/>
      <c r="E66" s="56"/>
    </row>
    <row r="67" spans="1:8" ht="13">
      <c r="A67" s="56" t="s">
        <v>220</v>
      </c>
      <c r="B67" s="29">
        <f ca="1">SUM(B66:B66)</f>
        <v>0</v>
      </c>
      <c r="C67" s="29" t="e">
        <f>C50</f>
        <v>#DIV/0!</v>
      </c>
      <c r="D67" s="29" t="e">
        <f ca="1">B67*C67</f>
        <v>#DIV/0!</v>
      </c>
      <c r="E67" s="66" t="e">
        <f ca="1">D67/$B$44</f>
        <v>#DIV/0!</v>
      </c>
      <c r="F67" t="s">
        <v>218</v>
      </c>
    </row>
    <row r="68" spans="1:8" ht="25">
      <c r="B68" s="41"/>
      <c r="C68" s="219" t="s">
        <v>338</v>
      </c>
      <c r="D68" s="41" t="s">
        <v>334</v>
      </c>
      <c r="E68" t="s">
        <v>217</v>
      </c>
    </row>
    <row r="69" spans="1:8">
      <c r="B69" s="41"/>
      <c r="C69" s="41"/>
      <c r="D69" s="41"/>
    </row>
    <row r="70" spans="1:8">
      <c r="B70" s="41"/>
      <c r="C70" s="41"/>
      <c r="D70" s="41"/>
    </row>
    <row r="71" spans="1:8">
      <c r="B71" s="41"/>
      <c r="C71" s="41"/>
      <c r="D71" s="41"/>
    </row>
    <row r="73" spans="1:8" ht="15.5">
      <c r="A73" s="97" t="s">
        <v>276</v>
      </c>
    </row>
    <row r="74" spans="1:8" ht="15.5">
      <c r="A74" s="97"/>
    </row>
    <row r="75" spans="1:8" ht="13">
      <c r="A75" s="19" t="s">
        <v>277</v>
      </c>
    </row>
    <row r="76" spans="1:8">
      <c r="A76" s="819" t="s">
        <v>278</v>
      </c>
      <c r="B76" s="819"/>
      <c r="C76" s="819"/>
      <c r="D76" s="819"/>
      <c r="E76" s="819"/>
      <c r="F76" s="819"/>
      <c r="G76" s="819"/>
      <c r="H76" s="819"/>
    </row>
    <row r="77" spans="1:8">
      <c r="A77" s="50"/>
      <c r="B77" s="50"/>
      <c r="C77" s="50"/>
      <c r="D77" s="50"/>
      <c r="E77" s="50"/>
      <c r="F77" s="208" t="s">
        <v>389</v>
      </c>
      <c r="G77" s="208" t="s">
        <v>468</v>
      </c>
      <c r="H77" s="50"/>
    </row>
    <row r="78" spans="1:8">
      <c r="A78" s="50" t="s">
        <v>387</v>
      </c>
      <c r="B78" s="209" t="s">
        <v>54</v>
      </c>
      <c r="C78" s="208">
        <f>'Q domestic energy'!B32</f>
        <v>0</v>
      </c>
      <c r="D78" s="50"/>
      <c r="E78" s="50"/>
      <c r="F78" s="56" t="s">
        <v>386</v>
      </c>
      <c r="G78" s="56">
        <v>31.64988</v>
      </c>
      <c r="H78" s="50"/>
    </row>
    <row r="79" spans="1:8">
      <c r="A79" s="50"/>
      <c r="B79" s="209" t="s">
        <v>388</v>
      </c>
      <c r="C79" s="208" t="str">
        <f>'Q domestic energy'!C32:D32</f>
        <v>kWh</v>
      </c>
      <c r="D79" s="50"/>
      <c r="E79" s="50"/>
      <c r="F79" s="56" t="s">
        <v>728</v>
      </c>
      <c r="G79" s="56">
        <v>1</v>
      </c>
      <c r="H79" s="50"/>
    </row>
    <row r="80" spans="1:8" ht="14.5">
      <c r="A80" s="50"/>
      <c r="B80" s="209" t="s">
        <v>468</v>
      </c>
      <c r="C80" s="208">
        <f>LOOKUP(C79,F78:F81,G78:G81)</f>
        <v>1</v>
      </c>
      <c r="D80" s="50"/>
      <c r="E80" s="50"/>
      <c r="F80" s="56" t="s">
        <v>385</v>
      </c>
      <c r="G80" s="56">
        <v>11.1837</v>
      </c>
      <c r="H80" s="50"/>
    </row>
    <row r="81" spans="1:7">
      <c r="B81" s="209" t="s">
        <v>390</v>
      </c>
      <c r="C81" s="56">
        <f>C80*C78</f>
        <v>0</v>
      </c>
      <c r="F81" s="56" t="s">
        <v>484</v>
      </c>
      <c r="G81" s="56">
        <f>'Q domestic energy'!H35</f>
        <v>25</v>
      </c>
    </row>
    <row r="82" spans="1:7">
      <c r="C82" s="54"/>
    </row>
    <row r="83" spans="1:7">
      <c r="A83" t="s">
        <v>485</v>
      </c>
      <c r="B83" s="210" t="s">
        <v>486</v>
      </c>
      <c r="C83" s="55">
        <f>'Q domestic energy'!B33</f>
        <v>0</v>
      </c>
      <c r="F83" s="56" t="s">
        <v>487</v>
      </c>
      <c r="G83" s="56" t="s">
        <v>468</v>
      </c>
    </row>
    <row r="84" spans="1:7">
      <c r="B84" s="210" t="s">
        <v>388</v>
      </c>
      <c r="C84" s="55" t="str">
        <f>'Q domestic energy'!C33:D33</f>
        <v>kWh</v>
      </c>
      <c r="F84" s="56" t="s">
        <v>728</v>
      </c>
      <c r="G84" s="56">
        <v>1</v>
      </c>
    </row>
    <row r="85" spans="1:7">
      <c r="B85" s="210" t="s">
        <v>468</v>
      </c>
      <c r="C85" s="208">
        <f>LOOKUP(C84,F83:F85,G83:G85)</f>
        <v>1</v>
      </c>
      <c r="F85" s="56" t="s">
        <v>484</v>
      </c>
      <c r="G85" s="56">
        <f>'Q domestic energy'!H38</f>
        <v>7.4074074074074074</v>
      </c>
    </row>
    <row r="86" spans="1:7">
      <c r="B86" s="210" t="s">
        <v>390</v>
      </c>
      <c r="C86" s="56">
        <f>C85*C83</f>
        <v>0</v>
      </c>
    </row>
    <row r="87" spans="1:7">
      <c r="C87" s="54"/>
    </row>
    <row r="89" spans="1:7" ht="13">
      <c r="A89" s="19" t="s">
        <v>371</v>
      </c>
      <c r="B89">
        <f>'Q domestic energy'!E12+'Q domestic energy'!E13</f>
        <v>0</v>
      </c>
      <c r="C89" s="54"/>
      <c r="G89" s="47"/>
    </row>
    <row r="90" spans="1:7" ht="13.5" customHeight="1"/>
    <row r="91" spans="1:7" ht="41.25" customHeight="1">
      <c r="A91" s="40" t="s">
        <v>571</v>
      </c>
      <c r="B91" s="40"/>
      <c r="C91" s="40" t="s">
        <v>573</v>
      </c>
      <c r="D91" s="40" t="s">
        <v>572</v>
      </c>
      <c r="E91" s="40" t="s">
        <v>574</v>
      </c>
    </row>
    <row r="92" spans="1:7" ht="13.5" customHeight="1">
      <c r="A92" s="56" t="s">
        <v>570</v>
      </c>
      <c r="B92" s="56" t="str">
        <f>'Q domestic energy'!F59</f>
        <v>no</v>
      </c>
      <c r="C92" s="99">
        <f>IF(B92="no", 1,0.295)</f>
        <v>1</v>
      </c>
      <c r="D92" s="56">
        <f>C92*'Q domestic energy'!E33</f>
        <v>0</v>
      </c>
      <c r="E92" s="55">
        <f>'Q domestic energy'!E33-'qde calcs'!D92</f>
        <v>0</v>
      </c>
    </row>
    <row r="93" spans="1:7" ht="13.5" customHeight="1"/>
    <row r="96" spans="1:7" ht="13">
      <c r="A96" s="19" t="s">
        <v>370</v>
      </c>
    </row>
    <row r="97" spans="1:4">
      <c r="A97" s="56"/>
      <c r="B97" s="56" t="s">
        <v>47</v>
      </c>
      <c r="C97" s="56" t="s">
        <v>46</v>
      </c>
    </row>
    <row r="98" spans="1:4" ht="13">
      <c r="A98" s="57" t="s">
        <v>610</v>
      </c>
      <c r="B98" s="58">
        <f>$E$92+'Q domestic energy'!$E$32+'Q domestic energy'!E34+'Q domestic energy'!E35+'Q domestic energy'!E36+'Q domestic energy'!E37</f>
        <v>0</v>
      </c>
      <c r="C98" s="58">
        <f>B98/1000</f>
        <v>0</v>
      </c>
      <c r="D98" t="s">
        <v>609</v>
      </c>
    </row>
    <row r="99" spans="1:4" ht="13">
      <c r="A99" s="57" t="s">
        <v>627</v>
      </c>
      <c r="B99" s="58">
        <f>D92</f>
        <v>0</v>
      </c>
      <c r="C99" s="58">
        <f>B99/1000</f>
        <v>0</v>
      </c>
      <c r="D99" t="s">
        <v>611</v>
      </c>
    </row>
    <row r="101" spans="1:4">
      <c r="A101" s="61" t="s">
        <v>372</v>
      </c>
    </row>
    <row r="102" spans="1:4">
      <c r="A102" s="60" t="s">
        <v>373</v>
      </c>
      <c r="B102" s="18" t="e">
        <f>#REF!</f>
        <v>#REF!</v>
      </c>
      <c r="C102" s="18" t="e">
        <f>#REF!</f>
        <v>#REF!</v>
      </c>
    </row>
    <row r="103" spans="1:4">
      <c r="A103" s="62" t="s">
        <v>391</v>
      </c>
    </row>
    <row r="104" spans="1:4">
      <c r="A104" t="s">
        <v>392</v>
      </c>
      <c r="B104" s="53">
        <v>1</v>
      </c>
    </row>
  </sheetData>
  <mergeCells count="1">
    <mergeCell ref="A76:H76"/>
  </mergeCells>
  <phoneticPr fontId="2" type="noConversion"/>
  <pageMargins left="0.75" right="0.75" top="1" bottom="1" header="0.5" footer="0.5"/>
  <pageSetup paperSize="9" orientation="portrait" horizontalDpi="4294967292" verticalDpi="429496729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3"/>
  <sheetViews>
    <sheetView workbookViewId="0">
      <selection activeCell="C52" sqref="C51:C53"/>
    </sheetView>
  </sheetViews>
  <sheetFormatPr defaultColWidth="8.81640625" defaultRowHeight="12.5"/>
  <cols>
    <col min="1" max="1" width="16.6328125" customWidth="1"/>
    <col min="2" max="2" width="31.36328125" bestFit="1" customWidth="1"/>
    <col min="3" max="3" width="55.453125" bestFit="1" customWidth="1"/>
    <col min="4" max="4" width="11.36328125" customWidth="1"/>
    <col min="6" max="6" width="30.6328125" customWidth="1"/>
    <col min="7" max="7" width="47.453125" customWidth="1"/>
    <col min="8" max="8" width="17.36328125" customWidth="1"/>
  </cols>
  <sheetData>
    <row r="1" spans="1:4" ht="13">
      <c r="A1" s="19" t="s">
        <v>589</v>
      </c>
    </row>
    <row r="4" spans="1:4" ht="13">
      <c r="A4" s="19" t="s">
        <v>583</v>
      </c>
      <c r="B4" s="19"/>
    </row>
    <row r="5" spans="1:4" ht="13">
      <c r="A5" s="66" t="s">
        <v>590</v>
      </c>
      <c r="B5" s="66">
        <f>SUM('Q lifestyle'!C19:C26)</f>
        <v>0</v>
      </c>
    </row>
    <row r="6" spans="1:4" ht="13">
      <c r="A6" s="48"/>
      <c r="B6" s="48"/>
    </row>
    <row r="7" spans="1:4" ht="13">
      <c r="A7" s="48" t="s">
        <v>619</v>
      </c>
      <c r="B7" s="48"/>
    </row>
    <row r="8" spans="1:4" ht="13">
      <c r="A8" s="66" t="s">
        <v>620</v>
      </c>
      <c r="B8" s="66" t="s">
        <v>621</v>
      </c>
      <c r="C8" s="66" t="s">
        <v>622</v>
      </c>
      <c r="D8" s="66" t="s">
        <v>623</v>
      </c>
    </row>
    <row r="9" spans="1:4">
      <c r="A9" s="67">
        <f>'Q lifestyle'!B19</f>
        <v>0</v>
      </c>
      <c r="B9" s="67">
        <f>'Q lifestyle'!C19</f>
        <v>0</v>
      </c>
      <c r="C9" s="67">
        <f>'Q lifestyle'!D19</f>
        <v>0</v>
      </c>
      <c r="D9" s="56">
        <f>IF(C9="No",B9/10,0)</f>
        <v>0</v>
      </c>
    </row>
    <row r="10" spans="1:4">
      <c r="A10" s="67">
        <f>'Q lifestyle'!B20</f>
        <v>0</v>
      </c>
      <c r="B10" s="67">
        <f>'Q lifestyle'!C20</f>
        <v>0</v>
      </c>
      <c r="C10" s="67">
        <f>'Q lifestyle'!D20</f>
        <v>0</v>
      </c>
      <c r="D10" s="56">
        <f t="shared" ref="D10:D16" si="0">IF(C10="No",B10/10,0)</f>
        <v>0</v>
      </c>
    </row>
    <row r="11" spans="1:4">
      <c r="A11" s="67">
        <f>'Q lifestyle'!B21</f>
        <v>0</v>
      </c>
      <c r="B11" s="67">
        <f>'Q lifestyle'!C21</f>
        <v>0</v>
      </c>
      <c r="C11" s="67">
        <f>'Q lifestyle'!D21</f>
        <v>0</v>
      </c>
      <c r="D11" s="56">
        <f t="shared" si="0"/>
        <v>0</v>
      </c>
    </row>
    <row r="12" spans="1:4">
      <c r="A12" s="67">
        <f>'Q lifestyle'!B22</f>
        <v>0</v>
      </c>
      <c r="B12" s="67">
        <f>'Q lifestyle'!C22</f>
        <v>0</v>
      </c>
      <c r="C12" s="67">
        <f>'Q lifestyle'!D22</f>
        <v>0</v>
      </c>
      <c r="D12" s="56">
        <f t="shared" si="0"/>
        <v>0</v>
      </c>
    </row>
    <row r="13" spans="1:4">
      <c r="A13" s="67">
        <f>'Q lifestyle'!B23</f>
        <v>0</v>
      </c>
      <c r="B13" s="67">
        <f>'Q lifestyle'!C23</f>
        <v>0</v>
      </c>
      <c r="C13" s="67">
        <f>'Q lifestyle'!D23</f>
        <v>0</v>
      </c>
      <c r="D13" s="56">
        <f t="shared" si="0"/>
        <v>0</v>
      </c>
    </row>
    <row r="14" spans="1:4">
      <c r="A14" s="67">
        <f>'Q lifestyle'!B24</f>
        <v>0</v>
      </c>
      <c r="B14" s="67">
        <f>'Q lifestyle'!C24</f>
        <v>0</v>
      </c>
      <c r="C14" s="67">
        <f>'Q lifestyle'!D24</f>
        <v>0</v>
      </c>
      <c r="D14" s="56">
        <f t="shared" si="0"/>
        <v>0</v>
      </c>
    </row>
    <row r="15" spans="1:4">
      <c r="A15" s="67">
        <f>'Q lifestyle'!B25</f>
        <v>0</v>
      </c>
      <c r="B15" s="67">
        <f>'Q lifestyle'!C25</f>
        <v>0</v>
      </c>
      <c r="C15" s="67">
        <f>'Q lifestyle'!D25</f>
        <v>0</v>
      </c>
      <c r="D15" s="56">
        <f t="shared" si="0"/>
        <v>0</v>
      </c>
    </row>
    <row r="16" spans="1:4">
      <c r="A16" s="67">
        <f>'Q lifestyle'!B26</f>
        <v>0</v>
      </c>
      <c r="B16" s="67">
        <f>'Q lifestyle'!C26</f>
        <v>0</v>
      </c>
      <c r="C16" s="67">
        <f>'Q lifestyle'!D26</f>
        <v>0</v>
      </c>
      <c r="D16" s="56">
        <f t="shared" si="0"/>
        <v>0</v>
      </c>
    </row>
    <row r="17" spans="1:6" ht="13">
      <c r="A17" s="48" t="s">
        <v>369</v>
      </c>
      <c r="B17" s="48">
        <f>SUM(B9:B16)</f>
        <v>0</v>
      </c>
      <c r="D17" s="66">
        <f>SUM(D9:D16)</f>
        <v>0</v>
      </c>
      <c r="E17" s="19">
        <f>B17-D17</f>
        <v>0</v>
      </c>
      <c r="F17" t="s">
        <v>259</v>
      </c>
    </row>
    <row r="18" spans="1:6" ht="13">
      <c r="A18" s="19"/>
      <c r="B18" s="19"/>
    </row>
    <row r="19" spans="1:6" ht="13">
      <c r="A19" s="19" t="s">
        <v>251</v>
      </c>
      <c r="B19" s="19"/>
    </row>
    <row r="20" spans="1:6" ht="13">
      <c r="A20" s="66" t="s">
        <v>620</v>
      </c>
      <c r="B20" s="66" t="s">
        <v>621</v>
      </c>
      <c r="C20" s="66" t="s">
        <v>252</v>
      </c>
      <c r="D20" s="66" t="s">
        <v>623</v>
      </c>
      <c r="E20" s="215" t="s">
        <v>253</v>
      </c>
    </row>
    <row r="21" spans="1:6">
      <c r="A21" s="67">
        <f>'Q lifestyle'!A19:B19</f>
        <v>0</v>
      </c>
      <c r="B21" s="67">
        <f>B9</f>
        <v>0</v>
      </c>
      <c r="C21" s="56">
        <f>'Q lifestyle'!F19</f>
        <v>0</v>
      </c>
      <c r="D21" s="56">
        <f>LOOKUP(C21,$A$32:$A$37,$B$32:$B$37)</f>
        <v>0</v>
      </c>
      <c r="E21" s="56">
        <f>B21*D21</f>
        <v>0</v>
      </c>
    </row>
    <row r="22" spans="1:6">
      <c r="A22" s="67">
        <f>'Q lifestyle'!A20:B20</f>
        <v>0</v>
      </c>
      <c r="B22" s="67">
        <f t="shared" ref="B22:B29" si="1">B10</f>
        <v>0</v>
      </c>
      <c r="C22" s="56">
        <f>'Q lifestyle'!F20</f>
        <v>0</v>
      </c>
      <c r="D22" s="56">
        <f t="shared" ref="D22:D28" si="2">LOOKUP(C22,$A$32:$A$37,$B$32:$B$37)</f>
        <v>0</v>
      </c>
      <c r="E22" s="230">
        <f t="shared" ref="E22:E28" si="3">B22*D22</f>
        <v>0</v>
      </c>
    </row>
    <row r="23" spans="1:6">
      <c r="A23" s="67">
        <f>'Q lifestyle'!A21:B21</f>
        <v>0</v>
      </c>
      <c r="B23" s="67">
        <f t="shared" si="1"/>
        <v>0</v>
      </c>
      <c r="C23" s="56">
        <f>'Q lifestyle'!F21</f>
        <v>0</v>
      </c>
      <c r="D23" s="56">
        <f t="shared" si="2"/>
        <v>0</v>
      </c>
      <c r="E23" s="230">
        <f t="shared" si="3"/>
        <v>0</v>
      </c>
    </row>
    <row r="24" spans="1:6">
      <c r="A24" s="67">
        <f>'Q lifestyle'!A22:B22</f>
        <v>0</v>
      </c>
      <c r="B24" s="67">
        <f t="shared" si="1"/>
        <v>0</v>
      </c>
      <c r="C24" s="56">
        <f>'Q lifestyle'!F22</f>
        <v>0</v>
      </c>
      <c r="D24" s="56">
        <f t="shared" si="2"/>
        <v>0</v>
      </c>
      <c r="E24" s="230">
        <f t="shared" si="3"/>
        <v>0</v>
      </c>
    </row>
    <row r="25" spans="1:6">
      <c r="A25" s="67">
        <f>'Q lifestyle'!A23:B23</f>
        <v>0</v>
      </c>
      <c r="B25" s="67">
        <f t="shared" si="1"/>
        <v>0</v>
      </c>
      <c r="C25" s="56">
        <f>'Q lifestyle'!F23</f>
        <v>0</v>
      </c>
      <c r="D25" s="56">
        <f t="shared" si="2"/>
        <v>0</v>
      </c>
      <c r="E25" s="230">
        <f t="shared" si="3"/>
        <v>0</v>
      </c>
    </row>
    <row r="26" spans="1:6">
      <c r="A26" s="67">
        <f>'Q lifestyle'!A24:B24</f>
        <v>0</v>
      </c>
      <c r="B26" s="67">
        <f t="shared" si="1"/>
        <v>0</v>
      </c>
      <c r="C26" s="56">
        <f>'Q lifestyle'!F24</f>
        <v>0</v>
      </c>
      <c r="D26" s="56">
        <f t="shared" si="2"/>
        <v>0</v>
      </c>
      <c r="E26" s="230">
        <f t="shared" si="3"/>
        <v>0</v>
      </c>
    </row>
    <row r="27" spans="1:6">
      <c r="A27" s="67">
        <f>'Q lifestyle'!A25:B25</f>
        <v>0</v>
      </c>
      <c r="B27" s="67">
        <f t="shared" si="1"/>
        <v>0</v>
      </c>
      <c r="C27" s="56">
        <f>'Q lifestyle'!F25</f>
        <v>0</v>
      </c>
      <c r="D27" s="56">
        <f t="shared" si="2"/>
        <v>0</v>
      </c>
      <c r="E27" s="230">
        <f t="shared" si="3"/>
        <v>0</v>
      </c>
    </row>
    <row r="28" spans="1:6">
      <c r="A28" s="67">
        <f>'Q lifestyle'!A26:B26</f>
        <v>0</v>
      </c>
      <c r="B28" s="67">
        <f t="shared" si="1"/>
        <v>0</v>
      </c>
      <c r="C28" s="56">
        <f>'Q lifestyle'!F26</f>
        <v>0</v>
      </c>
      <c r="D28" s="56">
        <f t="shared" si="2"/>
        <v>0</v>
      </c>
      <c r="E28" s="230">
        <f t="shared" si="3"/>
        <v>0</v>
      </c>
    </row>
    <row r="29" spans="1:6" ht="13">
      <c r="A29" s="26">
        <f>'Q lifestyle'!A27:B27</f>
        <v>0</v>
      </c>
      <c r="B29" s="19">
        <f t="shared" si="1"/>
        <v>0</v>
      </c>
      <c r="E29" s="231">
        <f>SUM(E21:E28)</f>
        <v>0</v>
      </c>
      <c r="F29" t="s">
        <v>369</v>
      </c>
    </row>
    <row r="30" spans="1:6" ht="13">
      <c r="A30" s="26"/>
      <c r="B30" s="19"/>
    </row>
    <row r="31" spans="1:6" ht="13">
      <c r="A31" s="19" t="s">
        <v>255</v>
      </c>
      <c r="B31" s="19"/>
      <c r="E31" s="19">
        <f>E17+E29</f>
        <v>0</v>
      </c>
      <c r="F31" s="19" t="s">
        <v>625</v>
      </c>
    </row>
    <row r="32" spans="1:6">
      <c r="A32" s="67">
        <v>0</v>
      </c>
      <c r="B32" s="67">
        <v>0</v>
      </c>
    </row>
    <row r="33" spans="1:3">
      <c r="A33" s="67" t="s">
        <v>254</v>
      </c>
      <c r="B33" s="229">
        <v>0.05</v>
      </c>
    </row>
    <row r="34" spans="1:3">
      <c r="A34" s="67" t="s">
        <v>257</v>
      </c>
      <c r="B34" s="67">
        <v>0</v>
      </c>
    </row>
    <row r="35" spans="1:3">
      <c r="A35" s="67" t="s">
        <v>258</v>
      </c>
      <c r="B35" s="227">
        <v>0.1</v>
      </c>
    </row>
    <row r="36" spans="1:3">
      <c r="A36" s="67" t="s">
        <v>256</v>
      </c>
      <c r="B36" s="228">
        <v>-0.05</v>
      </c>
    </row>
    <row r="37" spans="1:3">
      <c r="A37" s="67" t="s">
        <v>116</v>
      </c>
      <c r="B37" s="227">
        <v>-0.1</v>
      </c>
    </row>
    <row r="38" spans="1:3" ht="13">
      <c r="A38" s="19"/>
      <c r="B38" s="19"/>
    </row>
    <row r="39" spans="1:3" ht="13">
      <c r="A39" s="19" t="s">
        <v>638</v>
      </c>
    </row>
    <row r="40" spans="1:3" ht="13">
      <c r="A40" s="66" t="s">
        <v>661</v>
      </c>
      <c r="B40" s="66" t="s">
        <v>591</v>
      </c>
      <c r="C40" s="66" t="s">
        <v>121</v>
      </c>
    </row>
    <row r="41" spans="1:3">
      <c r="A41" s="67" t="s">
        <v>348</v>
      </c>
      <c r="B41" s="56">
        <f>IF('Q lifestyle'!$B$31=C41,-E17/100*14.5,0)</f>
        <v>0</v>
      </c>
      <c r="C41" s="4" t="s">
        <v>508</v>
      </c>
    </row>
    <row r="42" spans="1:3">
      <c r="A42" s="67" t="s">
        <v>509</v>
      </c>
      <c r="B42" s="56">
        <f>IF('Q lifestyle'!$B$31=C42,-E17/100*11,0)</f>
        <v>0</v>
      </c>
      <c r="C42" s="4" t="s">
        <v>559</v>
      </c>
    </row>
    <row r="43" spans="1:3">
      <c r="A43" s="67" t="s">
        <v>626</v>
      </c>
      <c r="B43" s="56">
        <f>IF('Q lifestyle'!$B$31=C43,-E17/100*7,0)</f>
        <v>0</v>
      </c>
      <c r="C43" s="4" t="s">
        <v>403</v>
      </c>
    </row>
    <row r="44" spans="1:3">
      <c r="A44" s="67" t="s">
        <v>510</v>
      </c>
      <c r="B44" s="56">
        <f>IF('Q lifestyle'!$B$31=C44,-E17/100*3.5,0)</f>
        <v>0</v>
      </c>
      <c r="C44" s="4" t="s">
        <v>560</v>
      </c>
    </row>
    <row r="45" spans="1:3">
      <c r="A45" s="67" t="s">
        <v>592</v>
      </c>
      <c r="B45" s="56">
        <f>IF('Q lifestyle'!$B$31=C45,0,0)</f>
        <v>0</v>
      </c>
      <c r="C45" s="4" t="s">
        <v>224</v>
      </c>
    </row>
    <row r="46" spans="1:3" ht="13">
      <c r="A46" s="84" t="s">
        <v>593</v>
      </c>
      <c r="B46" s="66">
        <f>E31+SUM(B41:B45)</f>
        <v>0</v>
      </c>
      <c r="C46" s="221" t="s">
        <v>122</v>
      </c>
    </row>
    <row r="47" spans="1:3">
      <c r="A47" s="67" t="s">
        <v>363</v>
      </c>
      <c r="B47" s="124">
        <f>IF('Q lifestyle'!$B$32='ql calcs'!C47,3*'ql calcs'!E17/100,0)</f>
        <v>0</v>
      </c>
      <c r="C47" s="220" t="s">
        <v>803</v>
      </c>
    </row>
    <row r="48" spans="1:3">
      <c r="A48" s="56" t="s">
        <v>592</v>
      </c>
      <c r="B48" s="124">
        <f>IF('Q lifestyle'!$B$32='ql calcs'!C48,0,0)</f>
        <v>0</v>
      </c>
      <c r="C48" s="220" t="s">
        <v>117</v>
      </c>
    </row>
    <row r="49" spans="1:3">
      <c r="A49" s="56" t="s">
        <v>364</v>
      </c>
      <c r="B49" s="124">
        <f>IF('Q lifestyle'!$B$32='ql calcs'!C49,-3*E17/100,0)</f>
        <v>0</v>
      </c>
      <c r="C49" s="220" t="s">
        <v>118</v>
      </c>
    </row>
    <row r="50" spans="1:3" ht="13">
      <c r="A50" s="84" t="s">
        <v>593</v>
      </c>
      <c r="B50" s="222">
        <f>B46+SUM(B47:B49)</f>
        <v>0</v>
      </c>
      <c r="C50" s="223" t="s">
        <v>123</v>
      </c>
    </row>
    <row r="51" spans="1:3">
      <c r="A51" s="67" t="s">
        <v>125</v>
      </c>
      <c r="B51" s="124">
        <f>IF('Q lifestyle'!$B$33='ql calcs'!C51,-2.5*E17/100,0)</f>
        <v>0</v>
      </c>
      <c r="C51" s="220" t="s">
        <v>124</v>
      </c>
    </row>
    <row r="52" spans="1:3">
      <c r="A52" s="56" t="s">
        <v>592</v>
      </c>
      <c r="B52" s="124">
        <f>IF('Q lifestyle'!$B$33='ql calcs'!C52,0,0)</f>
        <v>0</v>
      </c>
      <c r="C52" s="220" t="s">
        <v>804</v>
      </c>
    </row>
    <row r="53" spans="1:3">
      <c r="A53" s="56" t="s">
        <v>126</v>
      </c>
      <c r="B53" s="124">
        <f>IF('Q lifestyle'!$B$33='ql calcs'!C53,E17*2.5/100,0)</f>
        <v>0</v>
      </c>
      <c r="C53" s="220" t="s">
        <v>805</v>
      </c>
    </row>
    <row r="54" spans="1:3" ht="13">
      <c r="A54" s="84" t="s">
        <v>593</v>
      </c>
      <c r="B54" s="222">
        <f>B50+SUM(B51:B53)</f>
        <v>0</v>
      </c>
      <c r="C54" s="223" t="s">
        <v>127</v>
      </c>
    </row>
    <row r="55" spans="1:3">
      <c r="A55" s="189" t="s">
        <v>125</v>
      </c>
      <c r="B55" s="124">
        <f>IF('Q lifestyle'!$B$34='ql calcs'!C55,-2.5*E17/100,0)</f>
        <v>0</v>
      </c>
      <c r="C55" s="224" t="s">
        <v>221</v>
      </c>
    </row>
    <row r="56" spans="1:3">
      <c r="A56" s="189" t="s">
        <v>131</v>
      </c>
      <c r="B56" s="124">
        <f>IF('Q lifestyle'!$B$34='ql calcs'!C56,-1.25*E17/100,0)</f>
        <v>0</v>
      </c>
      <c r="C56" s="224" t="s">
        <v>511</v>
      </c>
    </row>
    <row r="57" spans="1:3">
      <c r="A57" s="189" t="s">
        <v>592</v>
      </c>
      <c r="B57" s="124">
        <f>IF('Q lifestyle'!$B$34='ql calcs'!C57,0,0)</f>
        <v>0</v>
      </c>
      <c r="C57" s="4" t="s">
        <v>222</v>
      </c>
    </row>
    <row r="58" spans="1:3">
      <c r="A58" s="189" t="s">
        <v>126</v>
      </c>
      <c r="B58" s="124">
        <f>IF('Q lifestyle'!$B$34='ql calcs'!C58,E17*2.5/100,0)</f>
        <v>0</v>
      </c>
      <c r="C58" s="4" t="s">
        <v>223</v>
      </c>
    </row>
    <row r="59" spans="1:3" ht="13">
      <c r="A59" s="84" t="s">
        <v>593</v>
      </c>
      <c r="B59" s="66">
        <f>SUM(B55:B58)+B54</f>
        <v>0</v>
      </c>
      <c r="C59" s="3" t="s">
        <v>128</v>
      </c>
    </row>
    <row r="60" spans="1:3">
      <c r="A60" s="56" t="s">
        <v>592</v>
      </c>
      <c r="B60" s="56">
        <f>IF('Q lifestyle'!$B$35='ql calcs'!C60,0,0)</f>
        <v>0</v>
      </c>
      <c r="C60" s="4" t="s">
        <v>586</v>
      </c>
    </row>
    <row r="61" spans="1:3">
      <c r="A61" s="56" t="s">
        <v>130</v>
      </c>
      <c r="B61" s="56">
        <f>IF('Q lifestyle'!$B$35='ql calcs'!C61,-0.5*E17/100,0)</f>
        <v>0</v>
      </c>
      <c r="C61" s="4" t="s">
        <v>588</v>
      </c>
    </row>
    <row r="62" spans="1:3">
      <c r="A62" s="56" t="s">
        <v>131</v>
      </c>
      <c r="B62" s="56">
        <f>IF('Q lifestyle'!$B$35='ql calcs'!C62,-1.25*E17/100,0)</f>
        <v>0</v>
      </c>
      <c r="C62" s="4" t="s">
        <v>587</v>
      </c>
    </row>
    <row r="63" spans="1:3">
      <c r="A63" s="56" t="s">
        <v>125</v>
      </c>
      <c r="B63" s="56">
        <f>IF('Q lifestyle'!$B$35='ql calcs'!C63,-2.5*E17/100,0)</f>
        <v>0</v>
      </c>
      <c r="C63" s="4" t="s">
        <v>504</v>
      </c>
    </row>
    <row r="64" spans="1:3" ht="13">
      <c r="A64" s="84" t="s">
        <v>593</v>
      </c>
      <c r="B64" s="66">
        <f>B59+SUM(B60:B63)</f>
        <v>0</v>
      </c>
      <c r="C64" s="3" t="s">
        <v>129</v>
      </c>
    </row>
    <row r="65" spans="1:4">
      <c r="A65" s="56" t="s">
        <v>592</v>
      </c>
      <c r="B65" s="56">
        <f>IF('Q lifestyle'!$B$36='ql calcs'!C65,0*E17,0)</f>
        <v>0</v>
      </c>
      <c r="C65" s="85" t="s">
        <v>594</v>
      </c>
    </row>
    <row r="66" spans="1:4">
      <c r="A66" s="56" t="s">
        <v>132</v>
      </c>
      <c r="B66" s="56">
        <f>IF('Q lifestyle'!$B$36='ql calcs'!C66,-7.5*E17/100,0)</f>
        <v>0</v>
      </c>
      <c r="C66" s="85" t="s">
        <v>598</v>
      </c>
    </row>
    <row r="67" spans="1:4">
      <c r="A67" s="56" t="s">
        <v>133</v>
      </c>
      <c r="B67" s="56">
        <f>IF('Q lifestyle'!$B$36='ql calcs'!C67,-11*E17/100,0)</f>
        <v>0</v>
      </c>
      <c r="C67" s="85" t="s">
        <v>687</v>
      </c>
    </row>
    <row r="68" spans="1:4" ht="13">
      <c r="A68" s="84" t="s">
        <v>593</v>
      </c>
      <c r="B68" s="66">
        <f>B64+SUM(B65:B67)</f>
        <v>0</v>
      </c>
      <c r="C68" s="4"/>
    </row>
    <row r="69" spans="1:4" ht="13">
      <c r="A69" s="90"/>
      <c r="B69" s="48"/>
      <c r="C69" s="15"/>
    </row>
    <row r="70" spans="1:4" ht="13">
      <c r="A70" s="91" t="s">
        <v>603</v>
      </c>
    </row>
    <row r="71" spans="1:4" ht="25">
      <c r="A71" s="89" t="s">
        <v>604</v>
      </c>
      <c r="B71" s="89" t="s">
        <v>605</v>
      </c>
      <c r="C71" s="88" t="s">
        <v>634</v>
      </c>
    </row>
    <row r="72" spans="1:4">
      <c r="A72" s="89" t="s">
        <v>606</v>
      </c>
      <c r="B72" s="89">
        <v>175</v>
      </c>
      <c r="C72" s="4">
        <f>B72*'Q lifestyle'!A44</f>
        <v>0</v>
      </c>
    </row>
    <row r="73" spans="1:4" ht="25">
      <c r="A73" s="89" t="s">
        <v>607</v>
      </c>
      <c r="B73" s="89">
        <v>366</v>
      </c>
      <c r="C73" s="4">
        <f>B73*'Q lifestyle'!A45</f>
        <v>0</v>
      </c>
    </row>
    <row r="74" spans="1:4" ht="25">
      <c r="A74" s="89" t="s">
        <v>608</v>
      </c>
      <c r="B74" s="89">
        <v>609</v>
      </c>
      <c r="C74" s="4">
        <f>B74*'Q lifestyle'!A46</f>
        <v>0</v>
      </c>
    </row>
    <row r="75" spans="1:4" ht="25">
      <c r="A75" s="89" t="s">
        <v>629</v>
      </c>
      <c r="B75" s="89">
        <v>1222</v>
      </c>
      <c r="C75" s="4">
        <f>B75*'Q lifestyle'!A47</f>
        <v>0</v>
      </c>
    </row>
    <row r="76" spans="1:4" ht="25">
      <c r="A76" s="89" t="s">
        <v>630</v>
      </c>
      <c r="B76" s="89">
        <v>1574</v>
      </c>
      <c r="C76" s="4">
        <f>B76*'Q lifestyle'!A48</f>
        <v>0</v>
      </c>
    </row>
    <row r="77" spans="1:4" ht="25">
      <c r="A77" s="89" t="s">
        <v>631</v>
      </c>
      <c r="B77" s="89">
        <v>1901</v>
      </c>
      <c r="C77" s="4">
        <f>B77*'Q lifestyle'!A49</f>
        <v>0</v>
      </c>
    </row>
    <row r="78" spans="1:4" ht="13">
      <c r="B78">
        <f>AVERAGE(B73:B77)</f>
        <v>1134.4000000000001</v>
      </c>
      <c r="C78" s="19">
        <f>SUM(C72:C77)</f>
        <v>0</v>
      </c>
      <c r="D78" s="19" t="s">
        <v>635</v>
      </c>
    </row>
    <row r="79" spans="1:4" ht="13">
      <c r="C79" s="19"/>
      <c r="D79" s="19"/>
    </row>
    <row r="80" spans="1:4" ht="13">
      <c r="A80" s="823" t="s">
        <v>513</v>
      </c>
      <c r="B80" s="824"/>
      <c r="C80" s="19"/>
      <c r="D80" s="19"/>
    </row>
    <row r="81" spans="1:7" ht="13">
      <c r="C81" s="19"/>
      <c r="D81" s="19"/>
    </row>
    <row r="82" spans="1:7" ht="13">
      <c r="A82" s="225" t="str">
        <f>'Q lifestyle'!A60:B60</f>
        <v>I want to calculate my annual income based on</v>
      </c>
      <c r="B82" s="225" t="str">
        <f>'Q lifestyle'!C60</f>
        <v>Monthly figures</v>
      </c>
      <c r="C82" s="19"/>
      <c r="D82" s="19"/>
    </row>
    <row r="83" spans="1:7" ht="13">
      <c r="A83" s="225" t="str">
        <f>'Q lifestyle'!A61:B61</f>
        <v>take-home pay after tax, NI, pension schemes</v>
      </c>
      <c r="B83" s="225">
        <f>'Q lifestyle'!C61</f>
        <v>0</v>
      </c>
      <c r="C83" s="19"/>
      <c r="D83" s="19"/>
    </row>
    <row r="84" spans="1:7" ht="13">
      <c r="A84" s="225" t="str">
        <f>'Q lifestyle'!A62:B62</f>
        <v>and any additional income received, eg benefits</v>
      </c>
      <c r="B84" s="225">
        <f>'Q lifestyle'!C62</f>
        <v>0</v>
      </c>
      <c r="C84" s="19"/>
      <c r="D84" s="19"/>
    </row>
    <row r="85" spans="1:7" ht="13">
      <c r="A85" s="225"/>
      <c r="B85" s="225"/>
      <c r="C85" s="19"/>
      <c r="D85" s="19"/>
    </row>
    <row r="86" spans="1:7" ht="13">
      <c r="A86" s="225" t="s">
        <v>514</v>
      </c>
      <c r="B86" s="225">
        <f>B83+B84-B85</f>
        <v>0</v>
      </c>
      <c r="C86" s="19"/>
      <c r="D86" s="19"/>
    </row>
    <row r="87" spans="1:7" ht="13">
      <c r="A87" s="225" t="s">
        <v>515</v>
      </c>
      <c r="B87" s="225">
        <f>IF(B82="Weekly figures",B86*52,B86*12)</f>
        <v>0</v>
      </c>
      <c r="C87" s="19"/>
      <c r="D87" s="19"/>
    </row>
    <row r="88" spans="1:7" ht="13">
      <c r="A88" s="225"/>
      <c r="C88" s="19"/>
      <c r="D88" s="19"/>
    </row>
    <row r="89" spans="1:7" ht="13">
      <c r="C89" s="19"/>
      <c r="D89" s="19"/>
    </row>
    <row r="90" spans="1:7" ht="13">
      <c r="C90" s="19"/>
      <c r="D90" s="19"/>
    </row>
    <row r="91" spans="1:7" ht="13">
      <c r="C91" s="19"/>
      <c r="D91" s="19"/>
    </row>
    <row r="92" spans="1:7" ht="25">
      <c r="A92" s="92" t="s">
        <v>639</v>
      </c>
      <c r="B92" t="s">
        <v>76</v>
      </c>
    </row>
    <row r="93" spans="1:7" ht="15.5">
      <c r="A93" s="15"/>
      <c r="B93" s="206">
        <v>2</v>
      </c>
      <c r="C93" s="206" t="str">
        <f>'Q lifestyle'!H73</f>
        <v>£10,000 - £19,999</v>
      </c>
      <c r="D93" s="47"/>
      <c r="F93" s="822"/>
      <c r="G93" s="95"/>
    </row>
    <row r="94" spans="1:7" ht="15.5">
      <c r="A94" s="15"/>
      <c r="B94" s="206">
        <v>3.4</v>
      </c>
      <c r="C94" s="206" t="str">
        <f>'Q lifestyle'!H74</f>
        <v>£20,000 - £29,999</v>
      </c>
      <c r="D94" s="47"/>
      <c r="F94" s="822"/>
      <c r="G94" s="95"/>
    </row>
    <row r="95" spans="1:7" ht="15.5">
      <c r="A95" s="15"/>
      <c r="B95" s="206">
        <v>4.7</v>
      </c>
      <c r="C95" s="206" t="str">
        <f>'Q lifestyle'!H75</f>
        <v>£30,000 - £39,999</v>
      </c>
      <c r="D95" s="47"/>
      <c r="F95" s="94"/>
      <c r="G95" s="95"/>
    </row>
    <row r="96" spans="1:7" ht="15.5">
      <c r="A96" s="15"/>
      <c r="B96" s="206">
        <v>6</v>
      </c>
      <c r="C96" s="206" t="str">
        <f>'Q lifestyle'!H76</f>
        <v>£40,000 - £49,999</v>
      </c>
      <c r="D96" s="47"/>
      <c r="F96" s="822"/>
      <c r="G96" s="95"/>
    </row>
    <row r="97" spans="1:8" ht="15.5">
      <c r="A97" s="15"/>
      <c r="B97" s="206">
        <v>7.4</v>
      </c>
      <c r="C97" s="206" t="str">
        <f>'Q lifestyle'!H77</f>
        <v>£50,000 - £59,999</v>
      </c>
      <c r="D97" s="47"/>
      <c r="F97" s="822"/>
      <c r="G97" s="95"/>
      <c r="H97" s="47"/>
    </row>
    <row r="98" spans="1:8" ht="15.5">
      <c r="A98" s="15"/>
      <c r="B98" s="206">
        <v>8.8000000000000007</v>
      </c>
      <c r="C98" s="206" t="str">
        <f>'Q lifestyle'!H78</f>
        <v>£60,000 - £69,999</v>
      </c>
      <c r="D98" s="47"/>
      <c r="F98" s="822"/>
      <c r="G98" s="233"/>
      <c r="H98" s="47"/>
    </row>
    <row r="99" spans="1:8" ht="15.5">
      <c r="A99" s="15"/>
      <c r="B99" s="206">
        <v>10.199999999999999</v>
      </c>
      <c r="C99" s="206" t="str">
        <f>'Q lifestyle'!H79</f>
        <v>£70,000 or more</v>
      </c>
      <c r="F99" s="94"/>
      <c r="G99" s="95"/>
      <c r="H99" s="47"/>
    </row>
    <row r="100" spans="1:8" ht="15.5">
      <c r="A100" s="15"/>
      <c r="B100" s="206">
        <v>0</v>
      </c>
      <c r="C100" s="206" t="s">
        <v>440</v>
      </c>
      <c r="F100" s="94"/>
      <c r="G100" s="95"/>
      <c r="H100" s="47"/>
    </row>
    <row r="101" spans="1:8" ht="15.5">
      <c r="A101" s="15"/>
      <c r="B101" s="206">
        <v>0.7</v>
      </c>
      <c r="C101" s="206" t="s">
        <v>518</v>
      </c>
      <c r="D101" s="47"/>
      <c r="F101" s="94"/>
      <c r="G101" s="95"/>
    </row>
    <row r="102" spans="1:8" ht="15.5">
      <c r="A102" s="15"/>
      <c r="B102" s="207">
        <v>6</v>
      </c>
      <c r="C102" s="206" t="s">
        <v>505</v>
      </c>
      <c r="D102" s="47"/>
      <c r="F102" s="94"/>
      <c r="G102" s="95"/>
    </row>
    <row r="103" spans="1:8" ht="15.5">
      <c r="A103" s="15"/>
      <c r="B103" s="207">
        <v>3.6</v>
      </c>
      <c r="C103" s="206" t="s">
        <v>507</v>
      </c>
      <c r="D103" s="47"/>
      <c r="F103" s="94"/>
      <c r="G103" s="95"/>
    </row>
    <row r="104" spans="1:8" ht="15.5">
      <c r="B104" s="207">
        <v>4.8</v>
      </c>
      <c r="C104" s="206" t="s">
        <v>506</v>
      </c>
      <c r="F104" s="94"/>
      <c r="G104" s="95"/>
    </row>
    <row r="105" spans="1:8" ht="15.5">
      <c r="A105" s="15"/>
      <c r="B105" s="207"/>
      <c r="C105" s="206"/>
      <c r="D105" s="47"/>
      <c r="F105" s="94"/>
      <c r="G105" s="95"/>
    </row>
    <row r="106" spans="1:8" ht="15.5">
      <c r="A106" s="15"/>
      <c r="B106" s="94"/>
      <c r="C106" s="94"/>
      <c r="F106" s="94"/>
      <c r="G106" s="95"/>
      <c r="H106" s="47"/>
    </row>
    <row r="107" spans="1:8">
      <c r="A107" s="4" t="s">
        <v>521</v>
      </c>
      <c r="B107" s="206" t="str">
        <f>'Q lifestyle'!A74</f>
        <v>Select from the following…</v>
      </c>
      <c r="C107" s="206"/>
      <c r="F107" s="47"/>
      <c r="G107" s="47"/>
      <c r="H107" s="47"/>
    </row>
    <row r="108" spans="1:8">
      <c r="A108" s="4" t="s">
        <v>522</v>
      </c>
      <c r="B108" s="206">
        <f ca="1">LOOKUP(B107,C93:C105,B93:B107)</f>
        <v>0</v>
      </c>
      <c r="C108" s="206" t="s">
        <v>46</v>
      </c>
      <c r="F108" s="47"/>
      <c r="G108" s="47"/>
      <c r="H108" s="47"/>
    </row>
    <row r="109" spans="1:8">
      <c r="A109" s="15"/>
      <c r="B109" s="94"/>
      <c r="C109" s="94"/>
      <c r="F109" s="47"/>
      <c r="G109" s="47"/>
      <c r="H109" s="47"/>
    </row>
    <row r="110" spans="1:8">
      <c r="A110" s="15" t="s">
        <v>79</v>
      </c>
      <c r="B110" s="94"/>
      <c r="C110" s="94"/>
      <c r="F110" s="47"/>
      <c r="G110" s="47"/>
      <c r="H110" s="47"/>
    </row>
    <row r="111" spans="1:8">
      <c r="A111" s="15" t="str">
        <f>'Q lifestyle'!A83</f>
        <v>Electrical goods</v>
      </c>
      <c r="B111" s="15" t="str">
        <f>'Q lifestyle'!B83</f>
        <v>Select from the following…</v>
      </c>
      <c r="C111" s="94"/>
      <c r="F111" s="47"/>
      <c r="G111" s="47"/>
      <c r="H111" s="47"/>
    </row>
    <row r="112" spans="1:8">
      <c r="A112" s="15" t="str">
        <f>'Q lifestyle'!A85</f>
        <v>Clothing</v>
      </c>
      <c r="B112" s="237" t="str">
        <f>'Q lifestyle'!B85:E85</f>
        <v>Select from the following…</v>
      </c>
      <c r="C112" s="94"/>
      <c r="F112" s="47"/>
      <c r="G112" s="47"/>
      <c r="H112" s="47"/>
    </row>
    <row r="113" spans="1:8" ht="16.5" customHeight="1">
      <c r="A113" s="15" t="str">
        <f>'Q lifestyle'!A87</f>
        <v>Recycled</v>
      </c>
      <c r="B113" s="237" t="str">
        <f>'Q lifestyle'!B87:E87</f>
        <v>Select from the following…</v>
      </c>
      <c r="C113" s="94"/>
      <c r="F113" s="47"/>
      <c r="G113" s="47"/>
      <c r="H113" s="47"/>
    </row>
    <row r="114" spans="1:8">
      <c r="A114" s="15" t="str">
        <f>'Q lifestyle'!A89</f>
        <v>Second hand</v>
      </c>
      <c r="B114" s="237" t="str">
        <f>'Q lifestyle'!B89:E89</f>
        <v>Select from the following…</v>
      </c>
      <c r="C114" s="94"/>
      <c r="F114" s="47"/>
      <c r="G114" s="47"/>
      <c r="H114" s="47"/>
    </row>
    <row r="115" spans="1:8">
      <c r="A115" s="15"/>
      <c r="B115" s="94"/>
      <c r="C115" s="94"/>
      <c r="F115" s="47"/>
      <c r="G115" s="47"/>
      <c r="H115" s="47"/>
    </row>
    <row r="116" spans="1:8">
      <c r="A116" s="15"/>
      <c r="B116" s="94"/>
      <c r="C116" s="94"/>
      <c r="F116" s="47"/>
      <c r="G116" s="47"/>
      <c r="H116" s="47"/>
    </row>
    <row r="117" spans="1:8">
      <c r="A117" s="45" t="s">
        <v>645</v>
      </c>
      <c r="F117" s="47"/>
      <c r="G117" s="47"/>
      <c r="H117" s="47"/>
    </row>
    <row r="118" spans="1:8">
      <c r="A118" s="45" t="s">
        <v>646</v>
      </c>
      <c r="F118" s="47"/>
      <c r="G118" s="47"/>
      <c r="H118" s="47"/>
    </row>
    <row r="119" spans="1:8" ht="15.5">
      <c r="A119" s="72">
        <v>0.05</v>
      </c>
      <c r="B119" s="56">
        <f>IF($B$111=C119,A119*$B$108,0)</f>
        <v>0</v>
      </c>
      <c r="C119" s="26" t="s">
        <v>17</v>
      </c>
      <c r="F119" s="95"/>
      <c r="G119" s="95"/>
      <c r="H119" s="95"/>
    </row>
    <row r="120" spans="1:8" ht="15.75" customHeight="1">
      <c r="A120" s="56">
        <v>0</v>
      </c>
      <c r="B120" s="56">
        <f>IF($B$111=C120,A120*$B$108,0)</f>
        <v>0</v>
      </c>
      <c r="C120" s="26" t="s">
        <v>18</v>
      </c>
      <c r="F120" s="94"/>
      <c r="G120" s="95"/>
      <c r="H120" s="821"/>
    </row>
    <row r="121" spans="1:8" ht="15.5">
      <c r="A121" s="72">
        <v>-0.05</v>
      </c>
      <c r="B121" s="56">
        <f>IF($B$111=C121,A121*$B$108,0)</f>
        <v>0</v>
      </c>
      <c r="C121" s="26" t="s">
        <v>19</v>
      </c>
      <c r="F121" s="94"/>
      <c r="G121" s="95"/>
      <c r="H121" s="821"/>
    </row>
    <row r="122" spans="1:8" ht="15.5">
      <c r="A122" s="56"/>
      <c r="B122" s="66">
        <f ca="1">B108+SUM(B119:B121)</f>
        <v>0</v>
      </c>
      <c r="C122" s="19" t="s">
        <v>644</v>
      </c>
      <c r="F122" s="94"/>
      <c r="G122" s="95"/>
      <c r="H122" s="821"/>
    </row>
    <row r="123" spans="1:8" ht="16.5" customHeight="1">
      <c r="A123" s="72">
        <v>0.05</v>
      </c>
      <c r="B123" s="56">
        <f>IF($B$112=C123,A123*$B$108,0)</f>
        <v>0</v>
      </c>
      <c r="C123" s="26" t="s">
        <v>20</v>
      </c>
      <c r="F123" s="94"/>
      <c r="G123" s="95"/>
      <c r="H123" s="821"/>
    </row>
    <row r="124" spans="1:8" ht="15.5">
      <c r="A124" s="56">
        <v>0</v>
      </c>
      <c r="B124" s="56">
        <f>IF($B$112=C124,A124*$B$108,0)</f>
        <v>0</v>
      </c>
      <c r="C124" s="26" t="s">
        <v>21</v>
      </c>
      <c r="F124" s="94"/>
      <c r="G124" s="95"/>
      <c r="H124" s="821"/>
    </row>
    <row r="125" spans="1:8" ht="15.5">
      <c r="A125" s="72">
        <v>-0.05</v>
      </c>
      <c r="B125" s="56">
        <f>IF($B$112=C125,A125*$B$108,0)</f>
        <v>0</v>
      </c>
      <c r="C125" s="26" t="s">
        <v>22</v>
      </c>
      <c r="F125" s="94"/>
      <c r="G125" s="95"/>
      <c r="H125" s="821"/>
    </row>
    <row r="126" spans="1:8" ht="15" customHeight="1">
      <c r="A126" s="56"/>
      <c r="B126" s="66">
        <f ca="1">B122+SUM(B123:B125)</f>
        <v>0</v>
      </c>
      <c r="C126" s="19" t="s">
        <v>644</v>
      </c>
      <c r="F126" s="94"/>
      <c r="G126" s="95"/>
      <c r="H126" s="95"/>
    </row>
    <row r="127" spans="1:8" ht="15.5">
      <c r="A127" s="72">
        <v>0.01</v>
      </c>
      <c r="B127" s="56">
        <f>IF($B$113=C127,A127*$B$108,0)</f>
        <v>0</v>
      </c>
      <c r="C127" s="26" t="s">
        <v>23</v>
      </c>
      <c r="F127" s="95"/>
      <c r="G127" s="95"/>
      <c r="H127" s="95"/>
    </row>
    <row r="128" spans="1:8" ht="15.75" customHeight="1">
      <c r="A128" s="56">
        <v>0</v>
      </c>
      <c r="B128" s="56">
        <f>IF($B$113=C128,A128*$B$108,0)</f>
        <v>0</v>
      </c>
      <c r="C128" s="26" t="s">
        <v>24</v>
      </c>
      <c r="F128" s="94"/>
      <c r="G128" s="95"/>
      <c r="H128" s="821"/>
    </row>
    <row r="129" spans="1:8" ht="15.5">
      <c r="A129" s="72">
        <v>-0.01</v>
      </c>
      <c r="B129" s="56">
        <f>IF($B$113=C129,A129*$B$108,0)</f>
        <v>0</v>
      </c>
      <c r="C129" s="26" t="s">
        <v>25</v>
      </c>
      <c r="F129" s="94"/>
      <c r="G129" s="95"/>
      <c r="H129" s="821"/>
    </row>
    <row r="130" spans="1:8" ht="15.5">
      <c r="A130" s="56"/>
      <c r="B130" s="66">
        <f ca="1">B126+SUM(B127:B129)</f>
        <v>0</v>
      </c>
      <c r="C130" s="19" t="s">
        <v>644</v>
      </c>
      <c r="F130" s="94"/>
      <c r="G130" s="95"/>
      <c r="H130" s="821"/>
    </row>
    <row r="131" spans="1:8" ht="16.5" customHeight="1">
      <c r="A131" s="72">
        <v>0.05</v>
      </c>
      <c r="B131" s="56">
        <f>IF($B$114=C131,A131*$B$108,0)</f>
        <v>0</v>
      </c>
      <c r="C131" s="26" t="s">
        <v>26</v>
      </c>
      <c r="F131" s="94"/>
      <c r="G131" s="95"/>
      <c r="H131" s="821"/>
    </row>
    <row r="132" spans="1:8" ht="15.5">
      <c r="A132" s="56">
        <v>0</v>
      </c>
      <c r="B132" s="56">
        <f>IF($B$114=C132,A132*$B$108,0)</f>
        <v>0</v>
      </c>
      <c r="C132" s="26" t="s">
        <v>27</v>
      </c>
      <c r="F132" s="94"/>
      <c r="G132" s="95"/>
      <c r="H132" s="821"/>
    </row>
    <row r="133" spans="1:8" ht="15.5">
      <c r="A133" s="72">
        <v>-0.05</v>
      </c>
      <c r="B133" s="56">
        <f>IF($B$114=C133,A133*$B$108,0)</f>
        <v>0</v>
      </c>
      <c r="C133" s="26" t="s">
        <v>28</v>
      </c>
      <c r="F133" s="94"/>
      <c r="G133" s="95"/>
      <c r="H133" s="821"/>
    </row>
    <row r="134" spans="1:8" ht="15" customHeight="1">
      <c r="A134" s="56"/>
      <c r="B134" s="66">
        <f ca="1">B130+SUM(B131:B133)</f>
        <v>0</v>
      </c>
      <c r="C134" s="19" t="s">
        <v>644</v>
      </c>
      <c r="F134" s="94"/>
      <c r="G134" s="95"/>
      <c r="H134" s="95"/>
    </row>
    <row r="135" spans="1:8" ht="15" customHeight="1">
      <c r="A135" s="47"/>
      <c r="B135" s="48"/>
      <c r="C135" s="19"/>
      <c r="F135" s="94"/>
      <c r="G135" s="95"/>
      <c r="H135" s="95"/>
    </row>
    <row r="137" spans="1:8">
      <c r="A137" t="s">
        <v>71</v>
      </c>
    </row>
    <row r="138" spans="1:8" ht="15.5">
      <c r="A138" s="56">
        <v>0</v>
      </c>
      <c r="B138" s="234">
        <v>1.4999999999999999E-2</v>
      </c>
    </row>
    <row r="139" spans="1:8" ht="15.5">
      <c r="A139" s="56">
        <v>1</v>
      </c>
      <c r="B139" s="235">
        <v>0.01</v>
      </c>
    </row>
    <row r="140" spans="1:8" ht="15.5">
      <c r="A140" s="56">
        <v>2</v>
      </c>
      <c r="B140" s="234">
        <v>5.0000000000000001E-3</v>
      </c>
    </row>
    <row r="141" spans="1:8" ht="15.5">
      <c r="A141" s="56">
        <v>3</v>
      </c>
      <c r="B141" s="188">
        <v>0</v>
      </c>
    </row>
    <row r="142" spans="1:8" ht="15.5">
      <c r="A142" s="56">
        <v>4</v>
      </c>
      <c r="B142" s="234">
        <v>-5.0000000000000001E-3</v>
      </c>
    </row>
    <row r="143" spans="1:8" ht="15.5">
      <c r="A143" s="56">
        <v>5</v>
      </c>
      <c r="B143" s="235">
        <v>-0.01</v>
      </c>
    </row>
    <row r="144" spans="1:8" ht="15.5">
      <c r="A144" s="56">
        <v>6</v>
      </c>
      <c r="B144" s="234">
        <v>-1.4999999999999999E-2</v>
      </c>
    </row>
    <row r="145" spans="1:4" ht="15.5">
      <c r="A145" s="47"/>
      <c r="B145" s="236"/>
    </row>
    <row r="146" spans="1:4">
      <c r="A146" s="56" t="s">
        <v>72</v>
      </c>
      <c r="B146" s="56" t="s">
        <v>74</v>
      </c>
      <c r="C146" s="56" t="s">
        <v>623</v>
      </c>
      <c r="D146" t="s">
        <v>73</v>
      </c>
    </row>
    <row r="147" spans="1:4">
      <c r="A147" s="56">
        <f>'Q lifestyle'!A94</f>
        <v>3</v>
      </c>
      <c r="B147" s="67">
        <f>LOOKUP(A147,$A$138:$A$144,$B$138:$B$144)</f>
        <v>0</v>
      </c>
      <c r="C147" s="56">
        <f ca="1">B147*$B$134</f>
        <v>0</v>
      </c>
      <c r="D147" t="str">
        <f>'Q lifestyle'!B94</f>
        <v>We never use disposable or single use items eg nappies, bags.</v>
      </c>
    </row>
    <row r="148" spans="1:4">
      <c r="A148" s="56">
        <f>'Q lifestyle'!A96</f>
        <v>3</v>
      </c>
      <c r="B148" s="67">
        <f>LOOKUP(A148,$A$138:$A$144,$B$138:$B$144)</f>
        <v>0</v>
      </c>
      <c r="C148" s="56">
        <f ca="1">B148*$B$134</f>
        <v>0</v>
      </c>
      <c r="D148" t="str">
        <f>'Q lifestyle'!B96</f>
        <v>We always buy products with the minimum possible packaging.</v>
      </c>
    </row>
    <row r="149" spans="1:4">
      <c r="A149" s="56">
        <f>'Q lifestyle'!A98</f>
        <v>3</v>
      </c>
      <c r="B149" s="67">
        <f>LOOKUP(A149,$A$138:$A$144,$B$138:$B$144)</f>
        <v>0</v>
      </c>
      <c r="C149" s="56">
        <f ca="1">B149*$B$134</f>
        <v>0</v>
      </c>
      <c r="D149" t="str">
        <f>'Q lifestyle'!B98</f>
        <v>We recycle all our glass, tins, paper, card and plastic.</v>
      </c>
    </row>
    <row r="150" spans="1:4">
      <c r="A150" s="56">
        <f>'Q lifestyle'!A100</f>
        <v>3</v>
      </c>
      <c r="B150" s="67">
        <f>LOOKUP(A150,$A$138:$A$144,$B$138:$B$144)</f>
        <v>0</v>
      </c>
      <c r="C150" s="56">
        <f ca="1">B150*$B$134</f>
        <v>0</v>
      </c>
      <c r="D150" t="str">
        <f>'Q lifestyle'!B100</f>
        <v>We recycle or pass on all our unwanted clothes and textiles.</v>
      </c>
    </row>
    <row r="151" spans="1:4">
      <c r="A151" s="56">
        <f>'Q lifestyle'!A102</f>
        <v>3</v>
      </c>
      <c r="B151" s="67">
        <f>LOOKUP(A151,$A$138:$A$144,$B$138:$B$144)</f>
        <v>0</v>
      </c>
      <c r="C151" s="56">
        <f ca="1">B151*$B$134</f>
        <v>0</v>
      </c>
      <c r="D151" t="str">
        <f>'Q lifestyle'!B102</f>
        <v>We always mend broken items rather than replace them.</v>
      </c>
    </row>
    <row r="152" spans="1:4">
      <c r="C152" s="67">
        <f ca="1">SUM(C147:C151)</f>
        <v>0</v>
      </c>
      <c r="D152" t="s">
        <v>75</v>
      </c>
    </row>
    <row r="153" spans="1:4" ht="13">
      <c r="C153" s="66">
        <f ca="1">B134+C152</f>
        <v>0</v>
      </c>
      <c r="D153" s="19" t="s">
        <v>259</v>
      </c>
    </row>
  </sheetData>
  <mergeCells count="7">
    <mergeCell ref="H131:H133"/>
    <mergeCell ref="F93:F94"/>
    <mergeCell ref="F96:F98"/>
    <mergeCell ref="A80:B80"/>
    <mergeCell ref="H120:H122"/>
    <mergeCell ref="H123:H125"/>
    <mergeCell ref="H128:H130"/>
  </mergeCells>
  <phoneticPr fontId="2" type="noConversion"/>
  <pageMargins left="0.75" right="0.75" top="1" bottom="1" header="0.5" footer="0.5"/>
  <pageSetup paperSize="9" orientation="portrait" horizontalDpi="4294967293"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Q domestic energy</vt:lpstr>
      <vt:lpstr>Q travel</vt:lpstr>
      <vt:lpstr>Q lifestyle</vt:lpstr>
      <vt:lpstr>your footprint</vt:lpstr>
      <vt:lpstr>pledge sheet</vt:lpstr>
      <vt:lpstr>look up tables</vt:lpstr>
      <vt:lpstr>qt calcs</vt:lpstr>
      <vt:lpstr>qde calcs</vt:lpstr>
      <vt:lpstr>ql calcs</vt:lpstr>
      <vt:lpstr>         </vt:lpstr>
      <vt:lpstr>suggestions</vt:lpstr>
      <vt:lpstr>nothing here</vt:lpstr>
      <vt:lpstr>'Q domestic energy'!Print_Area</vt:lpstr>
      <vt:lpstr>'Q lifestyle'!Print_Area</vt:lpstr>
      <vt:lpstr>'Q travel'!Print_Area</vt:lpstr>
      <vt:lpstr>'your footprint'!Print_Area</vt:lpstr>
    </vt:vector>
  </TitlesOfParts>
  <Company>RBBH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AdamsJ2</dc:creator>
  <cp:lastModifiedBy>LCWO</cp:lastModifiedBy>
  <cp:lastPrinted>2011-03-29T11:18:28Z</cp:lastPrinted>
  <dcterms:created xsi:type="dcterms:W3CDTF">2008-11-30T20:53:16Z</dcterms:created>
  <dcterms:modified xsi:type="dcterms:W3CDTF">2019-10-02T10:55:35Z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dDocumentEventProcessedId">
    <vt:lpwstr>30f879f0-1361-416a-aed5-61bc2f64c4ef</vt:lpwstr>
  </property>
</Properties>
</file>